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135" yWindow="75" windowWidth="16920" windowHeight="12630"/>
  </bookViews>
  <sheets>
    <sheet name="ИП 2012-2018, 2019-2024" sheetId="8" r:id="rId1"/>
  </sheets>
  <externalReferences>
    <externalReference r:id="rId2"/>
    <externalReference r:id="rId3"/>
  </externalReferences>
  <definedNames>
    <definedName name="_xlnm._FilterDatabase" localSheetId="0" hidden="1">'ИП 2012-2018, 2019-2024'!$A$7:$J$657</definedName>
    <definedName name="_xlnm.Print_Titles" localSheetId="0">'ИП 2012-2018, 2019-2024'!$A:$J</definedName>
    <definedName name="_xlnm.Print_Area" localSheetId="0">'ИП 2012-2018, 2019-2024'!$A$1:$J$703</definedName>
  </definedNames>
  <calcPr calcId="145621" iterate="1"/>
</workbook>
</file>

<file path=xl/calcChain.xml><?xml version="1.0" encoding="utf-8"?>
<calcChain xmlns="http://schemas.openxmlformats.org/spreadsheetml/2006/main">
  <c r="E682" i="8" l="1"/>
  <c r="F682" i="8"/>
  <c r="E683" i="8"/>
  <c r="F683" i="8"/>
  <c r="E684" i="8"/>
  <c r="F684" i="8"/>
  <c r="E685" i="8"/>
  <c r="F685" i="8"/>
  <c r="E686" i="8"/>
  <c r="F686" i="8"/>
  <c r="E687" i="8"/>
  <c r="F687" i="8"/>
  <c r="E688" i="8"/>
  <c r="F688" i="8"/>
  <c r="E689" i="8"/>
  <c r="F689" i="8"/>
  <c r="E690" i="8"/>
  <c r="F690" i="8"/>
  <c r="E691" i="8"/>
  <c r="F691" i="8"/>
  <c r="F681" i="8"/>
  <c r="E681" i="8"/>
  <c r="L209" i="8" l="1"/>
  <c r="K209" i="8"/>
  <c r="L653" i="8"/>
  <c r="K653" i="8"/>
  <c r="AA7" i="8" l="1"/>
  <c r="Z7" i="8"/>
  <c r="AA5" i="8"/>
  <c r="AA6" i="8" s="1"/>
  <c r="Z5" i="8"/>
  <c r="AA2" i="8"/>
  <c r="Z2" i="8"/>
  <c r="X3" i="8" l="1"/>
  <c r="W3" i="8"/>
  <c r="E668" i="8"/>
  <c r="U3" i="8"/>
  <c r="T3" i="8"/>
  <c r="R3" i="8"/>
  <c r="Q3" i="8"/>
  <c r="G510" i="8" l="1"/>
  <c r="E510" i="8" s="1"/>
  <c r="J633" i="8" l="1"/>
  <c r="G633" i="8"/>
  <c r="J634" i="8"/>
  <c r="G634" i="8" s="1"/>
  <c r="G600" i="8"/>
  <c r="G648" i="8"/>
  <c r="E648" i="8" s="1"/>
  <c r="H648" i="8"/>
  <c r="G630" i="8"/>
  <c r="G530" i="8"/>
  <c r="G504" i="8"/>
  <c r="G468" i="8"/>
  <c r="G379" i="8"/>
  <c r="G347" i="8"/>
  <c r="E347" i="8" s="1"/>
  <c r="H347" i="8"/>
  <c r="G331" i="8"/>
  <c r="G321" i="8"/>
  <c r="G286" i="8"/>
  <c r="G256" i="8"/>
  <c r="E256" i="8" s="1"/>
  <c r="H256" i="8"/>
  <c r="G224" i="8"/>
  <c r="G216" i="8"/>
  <c r="G205" i="8"/>
  <c r="E205" i="8" s="1"/>
  <c r="H205" i="8"/>
  <c r="G187" i="8"/>
  <c r="G175" i="8"/>
  <c r="G163" i="8"/>
  <c r="G150" i="8"/>
  <c r="J665" i="8"/>
  <c r="H665" i="8"/>
  <c r="J668" i="8"/>
  <c r="H668" i="8"/>
  <c r="G668" i="8"/>
  <c r="G664" i="8"/>
  <c r="E664" i="8" s="1"/>
  <c r="G663" i="8"/>
  <c r="E663" i="8" s="1"/>
  <c r="D663" i="8"/>
  <c r="G662" i="8"/>
  <c r="E662" i="8" s="1"/>
  <c r="E665" i="8" s="1"/>
  <c r="E669" i="8" s="1"/>
  <c r="Z6" i="8" s="1"/>
  <c r="D662" i="8"/>
  <c r="H669" i="8" l="1"/>
  <c r="J669" i="8"/>
  <c r="G665" i="8"/>
  <c r="G669" i="8" s="1"/>
  <c r="G138" i="8"/>
  <c r="G126" i="8"/>
  <c r="E126" i="8" s="1"/>
  <c r="H126" i="8"/>
  <c r="G113" i="8"/>
  <c r="G95" i="8"/>
  <c r="G74" i="8" l="1"/>
  <c r="E74" i="8" s="1"/>
  <c r="H74" i="8"/>
  <c r="G44" i="8"/>
  <c r="E44" i="8" s="1"/>
  <c r="H44" i="8"/>
  <c r="G49" i="8" l="1"/>
  <c r="D83" i="8" l="1"/>
  <c r="D70" i="8"/>
  <c r="D40" i="8" l="1"/>
  <c r="D613" i="8"/>
  <c r="D584" i="8"/>
  <c r="G610" i="8" l="1"/>
  <c r="G611" i="8"/>
  <c r="D359" i="8" l="1"/>
  <c r="J518" i="8" l="1"/>
  <c r="H518" i="8" s="1"/>
  <c r="G365" i="8"/>
  <c r="E365" i="8" s="1"/>
  <c r="J394" i="8"/>
  <c r="H394" i="8" s="1"/>
  <c r="J652" i="8" l="1"/>
  <c r="H652" i="8" s="1"/>
  <c r="J547" i="8"/>
  <c r="G652" i="8" l="1"/>
  <c r="E652" i="8" s="1"/>
  <c r="J630" i="8" l="1"/>
  <c r="H630" i="8" s="1"/>
  <c r="E630" i="8"/>
  <c r="J619" i="8"/>
  <c r="H619" i="8" s="1"/>
  <c r="J583" i="8"/>
  <c r="H583" i="8" s="1"/>
  <c r="J582" i="8"/>
  <c r="H582" i="8" s="1"/>
  <c r="J561" i="8"/>
  <c r="H561" i="8" s="1"/>
  <c r="J560" i="8"/>
  <c r="H560" i="8" s="1"/>
  <c r="J580" i="8"/>
  <c r="H580" i="8" s="1"/>
  <c r="J590" i="8"/>
  <c r="H590" i="8" s="1"/>
  <c r="H547" i="8"/>
  <c r="J579" i="8"/>
  <c r="H579" i="8" s="1"/>
  <c r="J568" i="8"/>
  <c r="H568" i="8" s="1"/>
  <c r="J559" i="8"/>
  <c r="H559" i="8" s="1"/>
  <c r="J558" i="8"/>
  <c r="H558" i="8" s="1"/>
  <c r="J578" i="8"/>
  <c r="H578" i="8" s="1"/>
  <c r="J557" i="8"/>
  <c r="J615" i="8"/>
  <c r="H615" i="8" s="1"/>
  <c r="J563" i="8"/>
  <c r="H563" i="8" s="1"/>
  <c r="J530" i="8"/>
  <c r="H530" i="8" s="1"/>
  <c r="E530" i="8"/>
  <c r="J534" i="8"/>
  <c r="G534" i="8" s="1"/>
  <c r="J492" i="8"/>
  <c r="H492" i="8" s="1"/>
  <c r="J504" i="8"/>
  <c r="H504" i="8" s="1"/>
  <c r="E504" i="8"/>
  <c r="J508" i="8"/>
  <c r="G508" i="8" s="1"/>
  <c r="J487" i="8"/>
  <c r="H487" i="8" s="1"/>
  <c r="J491" i="8"/>
  <c r="G491" i="8" s="1"/>
  <c r="J468" i="8"/>
  <c r="H468" i="8" s="1"/>
  <c r="E468" i="8"/>
  <c r="J467" i="8"/>
  <c r="H467" i="8" s="1"/>
  <c r="J466" i="8"/>
  <c r="H466" i="8" s="1"/>
  <c r="J472" i="8"/>
  <c r="H472" i="8" s="1"/>
  <c r="J450" i="8"/>
  <c r="H450" i="8" s="1"/>
  <c r="J449" i="8"/>
  <c r="H449" i="8" s="1"/>
  <c r="J454" i="8"/>
  <c r="H454" i="8" s="1"/>
  <c r="J397" i="8"/>
  <c r="H397" i="8" s="1"/>
  <c r="J389" i="8"/>
  <c r="H389" i="8" s="1"/>
  <c r="J388" i="8"/>
  <c r="H388" i="8" s="1"/>
  <c r="J412" i="8"/>
  <c r="G412" i="8" s="1"/>
  <c r="E412" i="8" s="1"/>
  <c r="J367" i="8"/>
  <c r="H367" i="8" s="1"/>
  <c r="J354" i="8"/>
  <c r="H354" i="8" s="1"/>
  <c r="J353" i="8"/>
  <c r="H353" i="8" s="1"/>
  <c r="J352" i="8"/>
  <c r="H352" i="8" s="1"/>
  <c r="J379" i="8"/>
  <c r="H379" i="8" s="1"/>
  <c r="E379" i="8"/>
  <c r="J383" i="8"/>
  <c r="H383" i="8" s="1"/>
  <c r="J351" i="8"/>
  <c r="H351" i="8" s="1"/>
  <c r="J331" i="8"/>
  <c r="H331" i="8" s="1"/>
  <c r="E331" i="8"/>
  <c r="J335" i="8"/>
  <c r="G335" i="8" s="1"/>
  <c r="J321" i="8"/>
  <c r="H321" i="8" s="1"/>
  <c r="E321" i="8"/>
  <c r="J327" i="8"/>
  <c r="G327" i="8" s="1"/>
  <c r="J309" i="8"/>
  <c r="H309" i="8" s="1"/>
  <c r="J286" i="8"/>
  <c r="H286" i="8" s="1"/>
  <c r="E286" i="8"/>
  <c r="J280" i="8"/>
  <c r="H280" i="8" s="1"/>
  <c r="J290" i="8"/>
  <c r="G290" i="8" s="1"/>
  <c r="J268" i="8"/>
  <c r="H268" i="8" s="1"/>
  <c r="J267" i="8"/>
  <c r="H267" i="8" s="1"/>
  <c r="J266" i="8"/>
  <c r="H266" i="8" s="1"/>
  <c r="J265" i="8"/>
  <c r="H265" i="8" s="1"/>
  <c r="J264" i="8"/>
  <c r="H264" i="8" s="1"/>
  <c r="J263" i="8"/>
  <c r="H263" i="8" s="1"/>
  <c r="J273" i="8"/>
  <c r="H273" i="8" s="1"/>
  <c r="J260" i="8"/>
  <c r="G260" i="8" s="1"/>
  <c r="H491" i="8" l="1"/>
  <c r="H534" i="8"/>
  <c r="H557" i="8"/>
  <c r="G309" i="8"/>
  <c r="E309" i="8" s="1"/>
  <c r="H634" i="8"/>
  <c r="H335" i="8"/>
  <c r="G351" i="8"/>
  <c r="E351" i="8" s="1"/>
  <c r="G383" i="8"/>
  <c r="E383" i="8" s="1"/>
  <c r="G454" i="8"/>
  <c r="E454" i="8" s="1"/>
  <c r="H508" i="8"/>
  <c r="E634" i="8"/>
  <c r="E534" i="8"/>
  <c r="E508" i="8"/>
  <c r="E491" i="8"/>
  <c r="G472" i="8"/>
  <c r="H327" i="8"/>
  <c r="H412" i="8"/>
  <c r="H260" i="8"/>
  <c r="E335" i="8"/>
  <c r="G273" i="8"/>
  <c r="E273" i="8" s="1"/>
  <c r="H290" i="8"/>
  <c r="E327" i="8"/>
  <c r="E290" i="8"/>
  <c r="E260" i="8"/>
  <c r="E472" i="8" l="1"/>
  <c r="J224" i="8" l="1"/>
  <c r="H224" i="8" s="1"/>
  <c r="J228" i="8"/>
  <c r="H228" i="8" s="1"/>
  <c r="E224" i="8"/>
  <c r="J216" i="8"/>
  <c r="H216" i="8" s="1"/>
  <c r="E216" i="8"/>
  <c r="H214" i="8"/>
  <c r="J211" i="8"/>
  <c r="J220" i="8"/>
  <c r="H220" i="8" s="1"/>
  <c r="J201" i="8"/>
  <c r="H201" i="8" s="1"/>
  <c r="J200" i="8"/>
  <c r="H200" i="8" s="1"/>
  <c r="J199" i="8"/>
  <c r="H199" i="8" s="1"/>
  <c r="J198" i="8"/>
  <c r="J187" i="8"/>
  <c r="J191" i="8"/>
  <c r="H191" i="8" s="1"/>
  <c r="E187" i="8"/>
  <c r="J175" i="8"/>
  <c r="J179" i="8"/>
  <c r="H179" i="8" s="1"/>
  <c r="E175" i="8"/>
  <c r="J163" i="8"/>
  <c r="E163" i="8"/>
  <c r="J167" i="8"/>
  <c r="H167" i="8" s="1"/>
  <c r="J150" i="8"/>
  <c r="E150" i="8"/>
  <c r="J154" i="8"/>
  <c r="G154" i="8" s="1"/>
  <c r="J138" i="8"/>
  <c r="E138" i="8"/>
  <c r="J142" i="8"/>
  <c r="H142" i="8" s="1"/>
  <c r="J130" i="8"/>
  <c r="J102" i="8"/>
  <c r="H102" i="8" s="1"/>
  <c r="J101" i="8"/>
  <c r="H101" i="8" s="1"/>
  <c r="J100" i="8"/>
  <c r="J113" i="8"/>
  <c r="H113" i="8" s="1"/>
  <c r="E113" i="8"/>
  <c r="J117" i="8"/>
  <c r="J95" i="8"/>
  <c r="E95" i="8"/>
  <c r="J99" i="8"/>
  <c r="H99" i="8" s="1"/>
  <c r="J89" i="8"/>
  <c r="H89" i="8" s="1"/>
  <c r="J80" i="8"/>
  <c r="J88" i="8"/>
  <c r="G88" i="8" s="1"/>
  <c r="J70" i="8"/>
  <c r="J78" i="8"/>
  <c r="H78" i="8" s="1"/>
  <c r="J66" i="8"/>
  <c r="H66" i="8" s="1"/>
  <c r="J49" i="8"/>
  <c r="H49" i="8" s="1"/>
  <c r="J48" i="8"/>
  <c r="H48" i="8" s="1"/>
  <c r="J58" i="8"/>
  <c r="H58" i="8" s="1"/>
  <c r="J35" i="8"/>
  <c r="H35" i="8" s="1"/>
  <c r="J29" i="8"/>
  <c r="H29" i="8" s="1"/>
  <c r="J19" i="8"/>
  <c r="H150" i="8" l="1"/>
  <c r="H187" i="8"/>
  <c r="H175" i="8"/>
  <c r="H198" i="8"/>
  <c r="H163" i="8"/>
  <c r="H117" i="8"/>
  <c r="G117" i="8"/>
  <c r="E117" i="8" s="1"/>
  <c r="H70" i="8"/>
  <c r="H138" i="8"/>
  <c r="H130" i="8"/>
  <c r="H80" i="8"/>
  <c r="H95" i="8"/>
  <c r="H100" i="8"/>
  <c r="H19" i="8"/>
  <c r="H211" i="8"/>
  <c r="H88" i="8"/>
  <c r="G191" i="8"/>
  <c r="G220" i="8"/>
  <c r="G179" i="8"/>
  <c r="G228" i="8"/>
  <c r="G99" i="8"/>
  <c r="G167" i="8"/>
  <c r="G19" i="8"/>
  <c r="E19" i="8" s="1"/>
  <c r="G78" i="8"/>
  <c r="E78" i="8" s="1"/>
  <c r="E154" i="8"/>
  <c r="H154" i="8"/>
  <c r="G142" i="8"/>
  <c r="G130" i="8"/>
  <c r="G35" i="8"/>
  <c r="E88" i="8"/>
  <c r="G48" i="8"/>
  <c r="G58" i="8"/>
  <c r="G29" i="8"/>
  <c r="E191" i="8" l="1"/>
  <c r="E179" i="8"/>
  <c r="E99" i="8"/>
  <c r="E167" i="8"/>
  <c r="E220" i="8"/>
  <c r="E228" i="8"/>
  <c r="E142" i="8"/>
  <c r="E130" i="8"/>
  <c r="E35" i="8"/>
  <c r="E48" i="8"/>
  <c r="E58" i="8"/>
  <c r="E29" i="8"/>
  <c r="G612" i="8" l="1"/>
  <c r="E612" i="8" s="1"/>
  <c r="G581" i="8"/>
  <c r="E581" i="8" s="1"/>
  <c r="G548" i="8"/>
  <c r="E548" i="8" s="1"/>
  <c r="E49" i="8" l="1"/>
  <c r="G70" i="8"/>
  <c r="G557" i="8"/>
  <c r="E70" i="8" l="1"/>
  <c r="E557" i="8"/>
  <c r="G577" i="8"/>
  <c r="E577" i="8" s="1"/>
  <c r="G389" i="8"/>
  <c r="E389" i="8" s="1"/>
  <c r="G563" i="8"/>
  <c r="E563" i="8" s="1"/>
  <c r="G582" i="8"/>
  <c r="E582" i="8" l="1"/>
  <c r="G576" i="8" l="1"/>
  <c r="E576" i="8" s="1"/>
  <c r="G42" i="8" l="1"/>
  <c r="G41" i="8"/>
  <c r="E41" i="8"/>
  <c r="G394" i="8"/>
  <c r="E394" i="8" s="1"/>
  <c r="G587" i="8"/>
  <c r="E587" i="8" s="1"/>
  <c r="G586" i="8"/>
  <c r="E586" i="8" s="1"/>
  <c r="G239" i="8"/>
  <c r="E239" i="8" s="1"/>
  <c r="G230" i="8"/>
  <c r="G543" i="8"/>
  <c r="E543" i="8" s="1"/>
  <c r="G542" i="8"/>
  <c r="G609" i="8"/>
  <c r="E609" i="8" s="1"/>
  <c r="G564" i="8"/>
  <c r="E564" i="8" s="1"/>
  <c r="G605" i="8"/>
  <c r="E605" i="8" s="1"/>
  <c r="G515" i="8"/>
  <c r="E515" i="8" s="1"/>
  <c r="G197" i="8"/>
  <c r="G31" i="8"/>
  <c r="G556" i="8"/>
  <c r="E556" i="8" s="1"/>
  <c r="G555" i="8"/>
  <c r="E555" i="8" s="1"/>
  <c r="G388" i="8"/>
  <c r="E611" i="8"/>
  <c r="E197" i="8" l="1"/>
  <c r="E230" i="8"/>
  <c r="E542" i="8"/>
  <c r="E388" i="8"/>
  <c r="E31" i="8"/>
  <c r="G361" i="8"/>
  <c r="G554" i="8"/>
  <c r="E554" i="8" s="1"/>
  <c r="G553" i="8"/>
  <c r="E553" i="8" s="1"/>
  <c r="E361" i="8" l="1"/>
  <c r="G574" i="8" l="1"/>
  <c r="E574" i="8" s="1"/>
  <c r="J529" i="8"/>
  <c r="G503" i="8" l="1"/>
  <c r="J244" i="8" l="1"/>
  <c r="G244" i="8" s="1"/>
  <c r="E244" i="8" s="1"/>
  <c r="J237" i="8"/>
  <c r="G43" i="8" l="1"/>
  <c r="G330" i="8"/>
  <c r="G237" i="8"/>
  <c r="G629" i="8"/>
  <c r="G223" i="8"/>
  <c r="G378" i="8"/>
  <c r="G408" i="8"/>
  <c r="E408" i="8" s="1"/>
  <c r="H408" i="8"/>
  <c r="G647" i="8"/>
  <c r="G529" i="8"/>
  <c r="E529" i="8" s="1"/>
  <c r="H529" i="8"/>
  <c r="G483" i="8"/>
  <c r="E483" i="8" s="1"/>
  <c r="H483" i="8"/>
  <c r="G464" i="8"/>
  <c r="G320" i="8"/>
  <c r="G305" i="8"/>
  <c r="E305" i="8" s="1"/>
  <c r="H305" i="8"/>
  <c r="G285" i="8"/>
  <c r="G346" i="8"/>
  <c r="G255" i="8"/>
  <c r="G186" i="8"/>
  <c r="G174" i="8"/>
  <c r="G162" i="8"/>
  <c r="G149" i="8"/>
  <c r="G125" i="8"/>
  <c r="G137" i="8"/>
  <c r="G112" i="8"/>
  <c r="G94" i="8"/>
  <c r="G204" i="8"/>
  <c r="G73" i="8"/>
  <c r="J141" i="8"/>
  <c r="E237" i="8" l="1"/>
  <c r="J651" i="8"/>
  <c r="G651" i="8" s="1"/>
  <c r="J289" i="8"/>
  <c r="H289" i="8" s="1"/>
  <c r="J28" i="8"/>
  <c r="H28" i="8" s="1"/>
  <c r="J47" i="8"/>
  <c r="H47" i="8" s="1"/>
  <c r="J507" i="8"/>
  <c r="H507" i="8" s="1"/>
  <c r="J208" i="8"/>
  <c r="H208" i="8" s="1"/>
  <c r="J227" i="8"/>
  <c r="H227" i="8" s="1"/>
  <c r="J334" i="8"/>
  <c r="H334" i="8" s="1"/>
  <c r="J453" i="8"/>
  <c r="G453" i="8" s="1"/>
  <c r="E453" i="8" s="1"/>
  <c r="J411" i="8"/>
  <c r="H411" i="8" s="1"/>
  <c r="J382" i="8"/>
  <c r="H382" i="8" s="1"/>
  <c r="J129" i="8"/>
  <c r="H129" i="8" s="1"/>
  <c r="J166" i="8"/>
  <c r="H166" i="8" s="1"/>
  <c r="J87" i="8"/>
  <c r="H87" i="8" s="1"/>
  <c r="J116" i="8"/>
  <c r="G116" i="8" s="1"/>
  <c r="E116" i="8" s="1"/>
  <c r="H453" i="8" l="1"/>
  <c r="H116" i="8"/>
  <c r="G47" i="8"/>
  <c r="H651" i="8"/>
  <c r="E651" i="8"/>
  <c r="G289" i="8"/>
  <c r="G28" i="8"/>
  <c r="G507" i="8"/>
  <c r="G208" i="8"/>
  <c r="G227" i="8"/>
  <c r="G334" i="8"/>
  <c r="G411" i="8"/>
  <c r="G382" i="8"/>
  <c r="G129" i="8"/>
  <c r="G166" i="8"/>
  <c r="G87" i="8"/>
  <c r="E227" i="8" l="1"/>
  <c r="E47" i="8"/>
  <c r="E289" i="8"/>
  <c r="E28" i="8"/>
  <c r="E507" i="8"/>
  <c r="E208" i="8"/>
  <c r="E334" i="8"/>
  <c r="E411" i="8"/>
  <c r="E382" i="8"/>
  <c r="E129" i="8"/>
  <c r="E166" i="8"/>
  <c r="E87" i="8"/>
  <c r="J259" i="8" l="1"/>
  <c r="H259" i="8" s="1"/>
  <c r="J350" i="8"/>
  <c r="H350" i="8" s="1"/>
  <c r="J490" i="8"/>
  <c r="H490" i="8" s="1"/>
  <c r="J77" i="8"/>
  <c r="H77" i="8" s="1"/>
  <c r="J219" i="8"/>
  <c r="G219" i="8" s="1"/>
  <c r="J326" i="8"/>
  <c r="H326" i="8" s="1"/>
  <c r="J98" i="8"/>
  <c r="G98" i="8" s="1"/>
  <c r="J533" i="8"/>
  <c r="G533" i="8" s="1"/>
  <c r="J18" i="8"/>
  <c r="G18" i="8" s="1"/>
  <c r="J308" i="8"/>
  <c r="J272" i="8"/>
  <c r="J57" i="8"/>
  <c r="H57" i="8" s="1"/>
  <c r="J34" i="8"/>
  <c r="H34" i="8" s="1"/>
  <c r="J190" i="8"/>
  <c r="G190" i="8" s="1"/>
  <c r="J153" i="8"/>
  <c r="H153" i="8" s="1"/>
  <c r="J178" i="8"/>
  <c r="H178" i="8" s="1"/>
  <c r="G141" i="8"/>
  <c r="J137" i="8"/>
  <c r="H137" i="8" s="1"/>
  <c r="E137" i="8"/>
  <c r="J471" i="8"/>
  <c r="G471" i="8" s="1"/>
  <c r="J43" i="8"/>
  <c r="H43" i="8" s="1"/>
  <c r="E43" i="8"/>
  <c r="J647" i="8"/>
  <c r="E647" i="8"/>
  <c r="J285" i="8"/>
  <c r="H285" i="8" s="1"/>
  <c r="E285" i="8"/>
  <c r="J503" i="8"/>
  <c r="H503" i="8" s="1"/>
  <c r="E503" i="8"/>
  <c r="J223" i="8"/>
  <c r="H223" i="8" s="1"/>
  <c r="E223" i="8"/>
  <c r="J204" i="8"/>
  <c r="H204" i="8" s="1"/>
  <c r="E204" i="8"/>
  <c r="J378" i="8"/>
  <c r="E378" i="8"/>
  <c r="J125" i="8"/>
  <c r="H125" i="8" s="1"/>
  <c r="E125" i="8"/>
  <c r="J162" i="8"/>
  <c r="H162" i="8" s="1"/>
  <c r="E162" i="8"/>
  <c r="J330" i="8"/>
  <c r="H330" i="8" s="1"/>
  <c r="E330" i="8"/>
  <c r="J112" i="8"/>
  <c r="H112" i="8" s="1"/>
  <c r="E112" i="8"/>
  <c r="J255" i="8"/>
  <c r="H255" i="8" s="1"/>
  <c r="J346" i="8"/>
  <c r="H346" i="8" s="1"/>
  <c r="E346" i="8"/>
  <c r="E255" i="8"/>
  <c r="J629" i="8"/>
  <c r="H629" i="8" s="1"/>
  <c r="E629" i="8"/>
  <c r="J73" i="8"/>
  <c r="H73" i="8" s="1"/>
  <c r="E73" i="8"/>
  <c r="J464" i="8"/>
  <c r="H464" i="8" s="1"/>
  <c r="E464" i="8"/>
  <c r="J320" i="8"/>
  <c r="H320" i="8" s="1"/>
  <c r="E320" i="8"/>
  <c r="J94" i="8"/>
  <c r="H94" i="8" s="1"/>
  <c r="E94" i="8"/>
  <c r="J186" i="8"/>
  <c r="H186" i="8" s="1"/>
  <c r="E186" i="8"/>
  <c r="J149" i="8"/>
  <c r="H149" i="8" s="1"/>
  <c r="E149" i="8"/>
  <c r="J174" i="8"/>
  <c r="H174" i="8" s="1"/>
  <c r="E174" i="8"/>
  <c r="G84" i="8"/>
  <c r="G575" i="8"/>
  <c r="G514" i="8"/>
  <c r="E514" i="8" s="1"/>
  <c r="G513" i="8"/>
  <c r="E513" i="8" s="1"/>
  <c r="G512" i="8"/>
  <c r="G614" i="8"/>
  <c r="E614" i="8" s="1"/>
  <c r="G608" i="8"/>
  <c r="E608" i="8" s="1"/>
  <c r="G604" i="8"/>
  <c r="E604" i="8" s="1"/>
  <c r="G262" i="8"/>
  <c r="G613" i="8"/>
  <c r="E613" i="8" s="1"/>
  <c r="G196" i="8"/>
  <c r="E196" i="8" s="1"/>
  <c r="G195" i="8"/>
  <c r="E195" i="8" s="1"/>
  <c r="G387" i="8"/>
  <c r="G487" i="8"/>
  <c r="G242" i="8"/>
  <c r="G234" i="8"/>
  <c r="G360" i="8"/>
  <c r="E610" i="8"/>
  <c r="G607" i="8"/>
  <c r="E607" i="8" s="1"/>
  <c r="E600" i="8"/>
  <c r="G603" i="8"/>
  <c r="E603" i="8" s="1"/>
  <c r="G606" i="8"/>
  <c r="E606" i="8" s="1"/>
  <c r="H98" i="8" l="1"/>
  <c r="G326" i="8"/>
  <c r="E326" i="8" s="1"/>
  <c r="E575" i="8"/>
  <c r="H647" i="8"/>
  <c r="G308" i="8"/>
  <c r="E308" i="8" s="1"/>
  <c r="H308" i="8"/>
  <c r="E234" i="8"/>
  <c r="E84" i="8"/>
  <c r="H18" i="8"/>
  <c r="H219" i="8"/>
  <c r="H378" i="8"/>
  <c r="H272" i="8"/>
  <c r="E219" i="8"/>
  <c r="E242" i="8"/>
  <c r="E487" i="8"/>
  <c r="E360" i="8"/>
  <c r="E387" i="8"/>
  <c r="E262" i="8"/>
  <c r="E512" i="8"/>
  <c r="H471" i="8"/>
  <c r="G178" i="8"/>
  <c r="E178" i="8" s="1"/>
  <c r="G259" i="8"/>
  <c r="H190" i="8"/>
  <c r="G34" i="8"/>
  <c r="G57" i="8"/>
  <c r="G272" i="8"/>
  <c r="H633" i="8"/>
  <c r="H141" i="8"/>
  <c r="H533" i="8"/>
  <c r="G350" i="8"/>
  <c r="E633" i="8"/>
  <c r="G490" i="8"/>
  <c r="G77" i="8"/>
  <c r="E98" i="8"/>
  <c r="E533" i="8"/>
  <c r="E18" i="8"/>
  <c r="E190" i="8"/>
  <c r="G153" i="8"/>
  <c r="E141" i="8"/>
  <c r="H244" i="8"/>
  <c r="H237" i="8"/>
  <c r="J564" i="8"/>
  <c r="E34" i="8" l="1"/>
  <c r="E272" i="8"/>
  <c r="E259" i="8"/>
  <c r="E57" i="8"/>
  <c r="E350" i="8"/>
  <c r="E490" i="8"/>
  <c r="E77" i="8"/>
  <c r="E153" i="8"/>
  <c r="E471" i="8"/>
  <c r="H564" i="8"/>
  <c r="J556" i="8"/>
  <c r="H556" i="8" s="1"/>
  <c r="J197" i="8"/>
  <c r="H197" i="8" s="1"/>
  <c r="J555" i="8"/>
  <c r="H555" i="8" s="1"/>
  <c r="J554" i="8"/>
  <c r="H554" i="8" s="1"/>
  <c r="J553" i="8"/>
  <c r="J41" i="8"/>
  <c r="J577" i="8"/>
  <c r="H577" i="8" s="1"/>
  <c r="J387" i="8"/>
  <c r="J567" i="8"/>
  <c r="H567" i="8" s="1"/>
  <c r="J196" i="8"/>
  <c r="H196" i="8" s="1"/>
  <c r="J195" i="8"/>
  <c r="H41" i="8" l="1"/>
  <c r="H553" i="8"/>
  <c r="H387" i="8"/>
  <c r="H195" i="8"/>
  <c r="G345" i="8"/>
  <c r="G646" i="8"/>
  <c r="G528" i="8"/>
  <c r="G502" i="8"/>
  <c r="G482" i="8"/>
  <c r="G463" i="8"/>
  <c r="G407" i="8"/>
  <c r="G359" i="8"/>
  <c r="G356" i="8"/>
  <c r="G358" i="8"/>
  <c r="G377" i="8"/>
  <c r="G329" i="8"/>
  <c r="G319" i="8"/>
  <c r="G304" i="8"/>
  <c r="G284" i="8"/>
  <c r="G254" i="8"/>
  <c r="G222" i="8"/>
  <c r="G203" i="8"/>
  <c r="E359" i="8" l="1"/>
  <c r="G185" i="8"/>
  <c r="G173" i="8"/>
  <c r="G161" i="8"/>
  <c r="E161" i="8" s="1"/>
  <c r="H161" i="8"/>
  <c r="G148" i="8"/>
  <c r="G136" i="8"/>
  <c r="G124" i="8"/>
  <c r="G111" i="8"/>
  <c r="G93" i="8"/>
  <c r="G72" i="8"/>
  <c r="J148" i="8" l="1"/>
  <c r="J38" i="8" l="1"/>
  <c r="J532" i="8" l="1"/>
  <c r="H532" i="8" s="1"/>
  <c r="J506" i="8"/>
  <c r="H506" i="8" s="1"/>
  <c r="J650" i="8"/>
  <c r="H650" i="8" s="1"/>
  <c r="J452" i="8"/>
  <c r="J410" i="8"/>
  <c r="H410" i="8" s="1"/>
  <c r="J381" i="8"/>
  <c r="J349" i="8"/>
  <c r="H349" i="8" s="1"/>
  <c r="J632" i="8"/>
  <c r="H632" i="8" s="1"/>
  <c r="J489" i="8"/>
  <c r="H489" i="8" s="1"/>
  <c r="J470" i="8"/>
  <c r="G470" i="8" s="1"/>
  <c r="J288" i="8"/>
  <c r="H288" i="8" s="1"/>
  <c r="J226" i="8"/>
  <c r="G226" i="8" s="1"/>
  <c r="J333" i="8"/>
  <c r="H333" i="8" s="1"/>
  <c r="J258" i="8"/>
  <c r="H258" i="8" s="1"/>
  <c r="H381" i="8" l="1"/>
  <c r="G410" i="8"/>
  <c r="E410" i="8" s="1"/>
  <c r="G650" i="8"/>
  <c r="H226" i="8"/>
  <c r="E226" i="8"/>
  <c r="E470" i="8"/>
  <c r="H452" i="8"/>
  <c r="G452" i="8"/>
  <c r="G506" i="8"/>
  <c r="G532" i="8"/>
  <c r="G381" i="8"/>
  <c r="E381" i="8" s="1"/>
  <c r="G349" i="8"/>
  <c r="G632" i="8"/>
  <c r="E632" i="8" s="1"/>
  <c r="G489" i="8"/>
  <c r="E489" i="8" s="1"/>
  <c r="H470" i="8"/>
  <c r="G288" i="8"/>
  <c r="G333" i="8"/>
  <c r="G258" i="8"/>
  <c r="E650" i="8" l="1"/>
  <c r="E349" i="8"/>
  <c r="E258" i="8"/>
  <c r="E532" i="8"/>
  <c r="E288" i="8"/>
  <c r="E333" i="8"/>
  <c r="E506" i="8"/>
  <c r="E452" i="8"/>
  <c r="J218" i="8"/>
  <c r="J325" i="8"/>
  <c r="H325" i="8" s="1"/>
  <c r="J307" i="8"/>
  <c r="H307" i="8" s="1"/>
  <c r="J271" i="8"/>
  <c r="G271" i="8" s="1"/>
  <c r="E271" i="8" s="1"/>
  <c r="H218" i="8" l="1"/>
  <c r="G325" i="8"/>
  <c r="G218" i="8"/>
  <c r="G307" i="8"/>
  <c r="H271" i="8"/>
  <c r="E307" i="8" l="1"/>
  <c r="E218" i="8"/>
  <c r="E325" i="8"/>
  <c r="J27" i="8"/>
  <c r="H27" i="8" s="1"/>
  <c r="J76" i="8"/>
  <c r="G76" i="8" s="1"/>
  <c r="J46" i="8"/>
  <c r="H46" i="8" s="1"/>
  <c r="J207" i="8"/>
  <c r="G207" i="8" s="1"/>
  <c r="J128" i="8"/>
  <c r="H128" i="8" s="1"/>
  <c r="J165" i="8"/>
  <c r="H165" i="8" s="1"/>
  <c r="J86" i="8"/>
  <c r="H86" i="8" s="1"/>
  <c r="J115" i="8"/>
  <c r="H115" i="8" s="1"/>
  <c r="J97" i="8"/>
  <c r="H97" i="8" s="1"/>
  <c r="J17" i="8"/>
  <c r="J56" i="8"/>
  <c r="H56" i="8" s="1"/>
  <c r="J33" i="8"/>
  <c r="H33" i="8" s="1"/>
  <c r="J189" i="8"/>
  <c r="H189" i="8" s="1"/>
  <c r="J152" i="8"/>
  <c r="H152" i="8" s="1"/>
  <c r="J177" i="8"/>
  <c r="H177" i="8" s="1"/>
  <c r="J140" i="8"/>
  <c r="H76" i="8" l="1"/>
  <c r="G115" i="8"/>
  <c r="E115" i="8" s="1"/>
  <c r="H17" i="8"/>
  <c r="H207" i="8"/>
  <c r="E76" i="8"/>
  <c r="E207" i="8"/>
  <c r="G165" i="8"/>
  <c r="E165" i="8" s="1"/>
  <c r="G27" i="8"/>
  <c r="E27" i="8" s="1"/>
  <c r="G46" i="8"/>
  <c r="E46" i="8" s="1"/>
  <c r="G128" i="8"/>
  <c r="E128" i="8" s="1"/>
  <c r="G86" i="8"/>
  <c r="E86" i="8" s="1"/>
  <c r="G189" i="8"/>
  <c r="E189" i="8" s="1"/>
  <c r="G56" i="8"/>
  <c r="E56" i="8" s="1"/>
  <c r="G17" i="8"/>
  <c r="G152" i="8"/>
  <c r="E152" i="8" s="1"/>
  <c r="G33" i="8"/>
  <c r="E33" i="8" s="1"/>
  <c r="G97" i="8"/>
  <c r="E97" i="8" s="1"/>
  <c r="G177" i="8"/>
  <c r="E177" i="8" s="1"/>
  <c r="H140" i="8"/>
  <c r="G140" i="8"/>
  <c r="E140" i="8" s="1"/>
  <c r="J377" i="8"/>
  <c r="H377" i="8" s="1"/>
  <c r="E377" i="8"/>
  <c r="J42" i="8"/>
  <c r="H42" i="8" s="1"/>
  <c r="E42" i="8"/>
  <c r="J646" i="8"/>
  <c r="E646" i="8"/>
  <c r="J284" i="8"/>
  <c r="H284" i="8" s="1"/>
  <c r="E284" i="8"/>
  <c r="J502" i="8"/>
  <c r="H502" i="8" s="1"/>
  <c r="E502" i="8"/>
  <c r="J222" i="8"/>
  <c r="E222" i="8"/>
  <c r="J203" i="8"/>
  <c r="E203" i="8"/>
  <c r="J407" i="8"/>
  <c r="H407" i="8" s="1"/>
  <c r="E407" i="8"/>
  <c r="J124" i="8"/>
  <c r="H124" i="8" s="1"/>
  <c r="E124" i="8"/>
  <c r="J329" i="8"/>
  <c r="H329" i="8" s="1"/>
  <c r="E329" i="8"/>
  <c r="J111" i="8"/>
  <c r="H111" i="8" s="1"/>
  <c r="E111" i="8"/>
  <c r="J254" i="8"/>
  <c r="H254" i="8" s="1"/>
  <c r="E254" i="8"/>
  <c r="J345" i="8"/>
  <c r="H345" i="8" s="1"/>
  <c r="E345" i="8"/>
  <c r="J482" i="8"/>
  <c r="H482" i="8" s="1"/>
  <c r="E482" i="8"/>
  <c r="J72" i="8"/>
  <c r="H72" i="8" s="1"/>
  <c r="E72" i="8"/>
  <c r="J463" i="8"/>
  <c r="H463" i="8" s="1"/>
  <c r="E463" i="8"/>
  <c r="J319" i="8"/>
  <c r="H319" i="8" s="1"/>
  <c r="E319" i="8"/>
  <c r="J93" i="8"/>
  <c r="E93" i="8"/>
  <c r="J528" i="8"/>
  <c r="H528" i="8" s="1"/>
  <c r="E528" i="8"/>
  <c r="J304" i="8"/>
  <c r="H304" i="8" s="1"/>
  <c r="E304" i="8"/>
  <c r="J185" i="8"/>
  <c r="H185" i="8" s="1"/>
  <c r="E185" i="8"/>
  <c r="H222" i="8" l="1"/>
  <c r="E17" i="8"/>
  <c r="H646" i="8"/>
  <c r="H203" i="8"/>
  <c r="H93" i="8"/>
  <c r="H148" i="8"/>
  <c r="E148" i="8"/>
  <c r="J173" i="8"/>
  <c r="H173" i="8" s="1"/>
  <c r="E173" i="8"/>
  <c r="J136" i="8"/>
  <c r="H136" i="8" s="1"/>
  <c r="E136" i="8"/>
  <c r="G596" i="8" l="1"/>
  <c r="E596" i="8" s="1"/>
  <c r="G364" i="8"/>
  <c r="E364" i="8" s="1"/>
  <c r="G595" i="8"/>
  <c r="E595" i="8" s="1"/>
  <c r="G363" i="8" l="1"/>
  <c r="G486" i="8"/>
  <c r="G573" i="8"/>
  <c r="E573" i="8" s="1"/>
  <c r="G602" i="8"/>
  <c r="E602" i="8" s="1"/>
  <c r="G393" i="8"/>
  <c r="G366" i="8"/>
  <c r="E366" i="8" s="1"/>
  <c r="G40" i="8"/>
  <c r="G585" i="8"/>
  <c r="E585" i="8" s="1"/>
  <c r="E356" i="8"/>
  <c r="E358" i="8"/>
  <c r="G572" i="8"/>
  <c r="J589" i="8"/>
  <c r="H589" i="8" s="1"/>
  <c r="J588" i="8"/>
  <c r="H588" i="8" s="1"/>
  <c r="J386" i="8"/>
  <c r="H386" i="8" s="1"/>
  <c r="J546" i="8"/>
  <c r="H546" i="8" s="1"/>
  <c r="J545" i="8"/>
  <c r="J486" i="8"/>
  <c r="H486" i="8" s="1"/>
  <c r="J511" i="8"/>
  <c r="H511" i="8" s="1"/>
  <c r="J262" i="8"/>
  <c r="J576" i="8"/>
  <c r="H576" i="8" s="1"/>
  <c r="J575" i="8"/>
  <c r="H575" i="8" s="1"/>
  <c r="J84" i="8"/>
  <c r="H84" i="8" s="1"/>
  <c r="J31" i="8"/>
  <c r="H262" i="8" l="1"/>
  <c r="H545" i="8"/>
  <c r="E40" i="8"/>
  <c r="E486" i="8"/>
  <c r="E572" i="8"/>
  <c r="E393" i="8"/>
  <c r="E363" i="8"/>
  <c r="H31" i="8"/>
  <c r="J291" i="8"/>
  <c r="H291" i="8" s="1"/>
  <c r="J83" i="8"/>
  <c r="H83" i="8" l="1"/>
  <c r="J40" i="8"/>
  <c r="H40" i="8" s="1"/>
  <c r="J39" i="8"/>
  <c r="H38" i="8"/>
  <c r="J517" i="8"/>
  <c r="J516" i="8"/>
  <c r="H516" i="8" s="1"/>
  <c r="J515" i="8"/>
  <c r="H515" i="8" s="1"/>
  <c r="J396" i="8"/>
  <c r="J618" i="8"/>
  <c r="H396" i="8" l="1"/>
  <c r="H517" i="8"/>
  <c r="H618" i="8"/>
  <c r="H39" i="8"/>
  <c r="D352" i="8"/>
  <c r="G541" i="8"/>
  <c r="E541" i="8" s="1"/>
  <c r="G540" i="8"/>
  <c r="E540" i="8" s="1"/>
  <c r="G539" i="8"/>
  <c r="E539" i="8" s="1"/>
  <c r="G552" i="8"/>
  <c r="E552" i="8" s="1"/>
  <c r="G551" i="8"/>
  <c r="E551" i="8" s="1"/>
  <c r="J242" i="8" l="1"/>
  <c r="J232" i="8"/>
  <c r="G584" i="8" l="1"/>
  <c r="E584" i="8" s="1"/>
  <c r="G550" i="8"/>
  <c r="E550" i="8" s="1"/>
  <c r="G549" i="8"/>
  <c r="E549" i="8" s="1"/>
  <c r="J67" i="8" l="1"/>
  <c r="D601" i="8" l="1"/>
  <c r="D597" i="8"/>
  <c r="D549" i="8"/>
  <c r="D68" i="8"/>
  <c r="D64" i="8"/>
  <c r="D447" i="8"/>
  <c r="D392" i="8"/>
  <c r="D565" i="8"/>
  <c r="D391" i="8"/>
  <c r="D385" i="8"/>
  <c r="D355" i="8"/>
  <c r="D357" i="8"/>
  <c r="G628" i="8" l="1"/>
  <c r="G501" i="8"/>
  <c r="G406" i="8"/>
  <c r="E406" i="8" s="1"/>
  <c r="G221" i="8"/>
  <c r="G376" i="8"/>
  <c r="G645" i="8"/>
  <c r="G527" i="8"/>
  <c r="E527" i="8" s="1"/>
  <c r="E645" i="8" l="1"/>
  <c r="E501" i="8"/>
  <c r="E376" i="8"/>
  <c r="E221" i="8"/>
  <c r="G481" i="8"/>
  <c r="G462" i="8"/>
  <c r="G318" i="8"/>
  <c r="G303" i="8"/>
  <c r="E303" i="8" s="1"/>
  <c r="G283" i="8"/>
  <c r="G344" i="8"/>
  <c r="G253" i="8"/>
  <c r="G184" i="8"/>
  <c r="G172" i="8"/>
  <c r="G159" i="8"/>
  <c r="G160" i="8"/>
  <c r="G147" i="8"/>
  <c r="G123" i="8"/>
  <c r="G135" i="8"/>
  <c r="G110" i="8"/>
  <c r="G92" i="8"/>
  <c r="G202" i="8"/>
  <c r="G71" i="8"/>
  <c r="E462" i="8" l="1"/>
  <c r="E160" i="8"/>
  <c r="E110" i="8"/>
  <c r="E202" i="8"/>
  <c r="E123" i="8"/>
  <c r="E283" i="8"/>
  <c r="E253" i="8"/>
  <c r="E184" i="8"/>
  <c r="E92" i="8"/>
  <c r="E147" i="8"/>
  <c r="E71" i="8"/>
  <c r="E344" i="8"/>
  <c r="E172" i="8"/>
  <c r="E135" i="8"/>
  <c r="E481" i="8"/>
  <c r="E318" i="8"/>
  <c r="G392" i="8"/>
  <c r="E392" i="8" s="1"/>
  <c r="G391" i="8"/>
  <c r="E391" i="8" s="1"/>
  <c r="G386" i="8"/>
  <c r="G240" i="8"/>
  <c r="G241" i="8"/>
  <c r="E241" i="8" s="1"/>
  <c r="G233" i="8"/>
  <c r="E233" i="8" s="1"/>
  <c r="G571" i="8"/>
  <c r="E571" i="8" s="1"/>
  <c r="G570" i="8"/>
  <c r="G601" i="8"/>
  <c r="E601" i="8" s="1"/>
  <c r="G599" i="8"/>
  <c r="E599" i="8" s="1"/>
  <c r="G598" i="8"/>
  <c r="G597" i="8"/>
  <c r="E597" i="8" s="1"/>
  <c r="G39" i="8"/>
  <c r="E39" i="8" s="1"/>
  <c r="G61" i="8"/>
  <c r="E61" i="8" s="1"/>
  <c r="G594" i="8"/>
  <c r="E594" i="8" s="1"/>
  <c r="G362" i="8"/>
  <c r="E362" i="8" s="1"/>
  <c r="G357" i="8"/>
  <c r="E357" i="8" s="1"/>
  <c r="G355" i="8"/>
  <c r="E355" i="8" s="1"/>
  <c r="G352" i="8"/>
  <c r="E598" i="8" l="1"/>
  <c r="E570" i="8"/>
  <c r="E386" i="8"/>
  <c r="E352" i="8"/>
  <c r="J270" i="8"/>
  <c r="J645" i="8" l="1"/>
  <c r="H645" i="8" s="1"/>
  <c r="J283" i="8"/>
  <c r="H283" i="8" s="1"/>
  <c r="J501" i="8"/>
  <c r="H501" i="8" s="1"/>
  <c r="J221" i="8"/>
  <c r="H221" i="8" s="1"/>
  <c r="J202" i="8"/>
  <c r="H202" i="8" s="1"/>
  <c r="J406" i="8"/>
  <c r="H406" i="8" s="1"/>
  <c r="J376" i="8"/>
  <c r="H376" i="8" s="1"/>
  <c r="J123" i="8"/>
  <c r="H123" i="8" s="1"/>
  <c r="J160" i="8"/>
  <c r="H160" i="8" s="1"/>
  <c r="J110" i="8"/>
  <c r="H110" i="8" s="1"/>
  <c r="J253" i="8"/>
  <c r="H253" i="8" s="1"/>
  <c r="J344" i="8"/>
  <c r="H344" i="8" s="1"/>
  <c r="J481" i="8"/>
  <c r="H481" i="8" s="1"/>
  <c r="J71" i="8"/>
  <c r="H71" i="8" s="1"/>
  <c r="J462" i="8"/>
  <c r="H462" i="8" s="1"/>
  <c r="J318" i="8"/>
  <c r="H318" i="8" s="1"/>
  <c r="J92" i="8"/>
  <c r="H92" i="8" s="1"/>
  <c r="J527" i="8"/>
  <c r="H527" i="8" s="1"/>
  <c r="J303" i="8"/>
  <c r="H303" i="8" s="1"/>
  <c r="J172" i="8"/>
  <c r="H172" i="8" s="1"/>
  <c r="J184" i="8"/>
  <c r="H184" i="8" s="1"/>
  <c r="J147" i="8"/>
  <c r="H147" i="8" s="1"/>
  <c r="J135" i="8"/>
  <c r="H135" i="8" s="1"/>
  <c r="J380" i="8"/>
  <c r="H380" i="8" s="1"/>
  <c r="J287" i="8"/>
  <c r="G287" i="8" s="1"/>
  <c r="E287" i="8" s="1"/>
  <c r="J225" i="8"/>
  <c r="H225" i="8" s="1"/>
  <c r="J332" i="8"/>
  <c r="H332" i="8" s="1"/>
  <c r="J257" i="8"/>
  <c r="G257" i="8" s="1"/>
  <c r="E257" i="8" s="1"/>
  <c r="J217" i="8"/>
  <c r="J324" i="8"/>
  <c r="H324" i="8" s="1"/>
  <c r="J306" i="8"/>
  <c r="H306" i="8" s="1"/>
  <c r="J75" i="8"/>
  <c r="H75" i="8" s="1"/>
  <c r="J45" i="8"/>
  <c r="G45" i="8" s="1"/>
  <c r="E45" i="8" s="1"/>
  <c r="J206" i="8"/>
  <c r="H206" i="8" s="1"/>
  <c r="J127" i="8"/>
  <c r="G127" i="8" s="1"/>
  <c r="E127" i="8" s="1"/>
  <c r="J164" i="8"/>
  <c r="G164" i="8" s="1"/>
  <c r="E164" i="8" s="1"/>
  <c r="J85" i="8"/>
  <c r="H85" i="8" s="1"/>
  <c r="J114" i="8"/>
  <c r="H114" i="8" s="1"/>
  <c r="J96" i="8"/>
  <c r="H96" i="8" s="1"/>
  <c r="J55" i="8"/>
  <c r="H55" i="8" s="1"/>
  <c r="J188" i="8"/>
  <c r="G188" i="8" s="1"/>
  <c r="E188" i="8" s="1"/>
  <c r="J151" i="8"/>
  <c r="H151" i="8" s="1"/>
  <c r="J176" i="8"/>
  <c r="H176" i="8" s="1"/>
  <c r="J139" i="8"/>
  <c r="G139" i="8" s="1"/>
  <c r="E139" i="8" s="1"/>
  <c r="J531" i="8"/>
  <c r="H531" i="8" s="1"/>
  <c r="J505" i="8"/>
  <c r="G505" i="8" s="1"/>
  <c r="E505" i="8" s="1"/>
  <c r="J649" i="8"/>
  <c r="H649" i="8" s="1"/>
  <c r="J451" i="8"/>
  <c r="H451" i="8" s="1"/>
  <c r="J409" i="8"/>
  <c r="H409" i="8" s="1"/>
  <c r="J348" i="8"/>
  <c r="G348" i="8" s="1"/>
  <c r="E348" i="8" s="1"/>
  <c r="J488" i="8"/>
  <c r="G488" i="8" s="1"/>
  <c r="J469" i="8"/>
  <c r="H469" i="8" s="1"/>
  <c r="J26" i="8"/>
  <c r="H287" i="8"/>
  <c r="H270" i="8"/>
  <c r="G270" i="8"/>
  <c r="E270" i="8" s="1"/>
  <c r="J32" i="8"/>
  <c r="H32" i="8" s="1"/>
  <c r="G206" i="8" l="1"/>
  <c r="E206" i="8" s="1"/>
  <c r="H348" i="8"/>
  <c r="G151" i="8"/>
  <c r="E151" i="8" s="1"/>
  <c r="G324" i="8"/>
  <c r="G332" i="8"/>
  <c r="E332" i="8" s="1"/>
  <c r="G531" i="8"/>
  <c r="E531" i="8" s="1"/>
  <c r="G409" i="8"/>
  <c r="H45" i="8"/>
  <c r="G55" i="8"/>
  <c r="E55" i="8" s="1"/>
  <c r="H139" i="8"/>
  <c r="H164" i="8"/>
  <c r="E324" i="8"/>
  <c r="E488" i="8"/>
  <c r="G469" i="8"/>
  <c r="E469" i="8" s="1"/>
  <c r="E409" i="8"/>
  <c r="H217" i="8"/>
  <c r="G217" i="8"/>
  <c r="G380" i="8"/>
  <c r="G225" i="8"/>
  <c r="E225" i="8" s="1"/>
  <c r="H257" i="8"/>
  <c r="G306" i="8"/>
  <c r="E306" i="8" s="1"/>
  <c r="G75" i="8"/>
  <c r="E75" i="8" s="1"/>
  <c r="H127" i="8"/>
  <c r="G114" i="8"/>
  <c r="E114" i="8" s="1"/>
  <c r="G96" i="8"/>
  <c r="E96" i="8" s="1"/>
  <c r="H188" i="8"/>
  <c r="G176" i="8"/>
  <c r="E176" i="8" s="1"/>
  <c r="H505" i="8"/>
  <c r="G649" i="8"/>
  <c r="E649" i="8" s="1"/>
  <c r="G451" i="8"/>
  <c r="E451" i="8" s="1"/>
  <c r="H488" i="8"/>
  <c r="G85" i="8"/>
  <c r="E85" i="8" s="1"/>
  <c r="G32" i="8"/>
  <c r="E32" i="8" s="1"/>
  <c r="H26" i="8"/>
  <c r="G26" i="8"/>
  <c r="E26" i="8" s="1"/>
  <c r="E380" i="8" l="1"/>
  <c r="E217" i="8"/>
  <c r="J16" i="8"/>
  <c r="J243" i="8"/>
  <c r="H243" i="8" s="1"/>
  <c r="J236" i="8"/>
  <c r="H236" i="8" l="1"/>
  <c r="G16" i="8"/>
  <c r="H16" i="8"/>
  <c r="G243" i="8"/>
  <c r="E243" i="8" s="1"/>
  <c r="G236" i="8"/>
  <c r="J631" i="8"/>
  <c r="H631" i="8" s="1"/>
  <c r="H628" i="8"/>
  <c r="E628" i="8"/>
  <c r="J617" i="8"/>
  <c r="H617" i="8" s="1"/>
  <c r="J574" i="8"/>
  <c r="J573" i="8"/>
  <c r="H573" i="8" s="1"/>
  <c r="J552" i="8"/>
  <c r="H552" i="8" s="1"/>
  <c r="J551" i="8"/>
  <c r="J587" i="8"/>
  <c r="H587" i="8" s="1"/>
  <c r="J586" i="8"/>
  <c r="H586" i="8" s="1"/>
  <c r="U2" i="8" l="1"/>
  <c r="U4" i="8" s="1"/>
  <c r="H574" i="8"/>
  <c r="G631" i="8"/>
  <c r="H242" i="8"/>
  <c r="H551" i="8"/>
  <c r="E236" i="8"/>
  <c r="H232" i="8"/>
  <c r="E16" i="8"/>
  <c r="D510" i="8"/>
  <c r="T2" i="8" l="1"/>
  <c r="T4" i="8" s="1"/>
  <c r="E631" i="8"/>
  <c r="D569" i="8"/>
  <c r="J550" i="8"/>
  <c r="J585" i="8"/>
  <c r="J584" i="8"/>
  <c r="H584" i="8" s="1"/>
  <c r="J572" i="8"/>
  <c r="H572" i="8" s="1"/>
  <c r="J571" i="8"/>
  <c r="H571" i="8" s="1"/>
  <c r="J570" i="8"/>
  <c r="J644" i="8"/>
  <c r="G644" i="8"/>
  <c r="H585" i="8" l="1"/>
  <c r="H550" i="8"/>
  <c r="H570" i="8"/>
  <c r="J616" i="8"/>
  <c r="J627" i="8"/>
  <c r="G627" i="8"/>
  <c r="G593" i="8"/>
  <c r="E593" i="8" s="1"/>
  <c r="G592" i="8"/>
  <c r="J500" i="8"/>
  <c r="G500" i="8"/>
  <c r="H499" i="8"/>
  <c r="G499" i="8"/>
  <c r="E499" i="8" s="1"/>
  <c r="J480" i="8"/>
  <c r="G480" i="8"/>
  <c r="G461" i="8"/>
  <c r="G445" i="8"/>
  <c r="H444" i="8"/>
  <c r="G444" i="8"/>
  <c r="E444" i="8" s="1"/>
  <c r="J395" i="8"/>
  <c r="G390" i="8"/>
  <c r="E390" i="8" s="1"/>
  <c r="H395" i="8" l="1"/>
  <c r="E592" i="8"/>
  <c r="H616" i="8"/>
  <c r="J405" i="8"/>
  <c r="H405" i="8" s="1"/>
  <c r="G405" i="8"/>
  <c r="J375" i="8"/>
  <c r="H375" i="8" s="1"/>
  <c r="G375" i="8"/>
  <c r="E375" i="8" s="1"/>
  <c r="G343" i="8"/>
  <c r="J317" i="8"/>
  <c r="H317" i="8" s="1"/>
  <c r="G317" i="8"/>
  <c r="E317" i="8" s="1"/>
  <c r="J302" i="8"/>
  <c r="H302" i="8" s="1"/>
  <c r="G302" i="8"/>
  <c r="J282" i="8"/>
  <c r="H282" i="8" s="1"/>
  <c r="G282" i="8"/>
  <c r="E282" i="8" s="1"/>
  <c r="G252" i="8"/>
  <c r="J192" i="8"/>
  <c r="H192" i="8" s="1"/>
  <c r="E343" i="8" l="1"/>
  <c r="E405" i="8"/>
  <c r="E302" i="8"/>
  <c r="E252" i="8"/>
  <c r="D38" i="8"/>
  <c r="E500" i="8" l="1"/>
  <c r="H500" i="8"/>
  <c r="E445" i="8"/>
  <c r="H445" i="8"/>
  <c r="G25" i="8"/>
  <c r="H25" i="8"/>
  <c r="G15" i="8"/>
  <c r="H15" i="8"/>
  <c r="G316" i="8"/>
  <c r="G109" i="8"/>
  <c r="H109" i="8"/>
  <c r="E15" i="8" l="1"/>
  <c r="E109" i="8"/>
  <c r="E25" i="8"/>
  <c r="G448" i="8" l="1"/>
  <c r="G385" i="8"/>
  <c r="E385" i="8" s="1"/>
  <c r="G232" i="8"/>
  <c r="G82" i="8"/>
  <c r="E82" i="8" s="1"/>
  <c r="G81" i="8"/>
  <c r="G591" i="8"/>
  <c r="E591" i="8" l="1"/>
  <c r="E232" i="8"/>
  <c r="E81" i="8"/>
  <c r="E448" i="8"/>
  <c r="G569" i="8"/>
  <c r="G427" i="8"/>
  <c r="E427" i="8" s="1"/>
  <c r="G426" i="8"/>
  <c r="E426" i="8" s="1"/>
  <c r="G425" i="8"/>
  <c r="E425" i="8" s="1"/>
  <c r="G424" i="8"/>
  <c r="E424" i="8" s="1"/>
  <c r="G423" i="8"/>
  <c r="G422" i="8"/>
  <c r="E422" i="8" s="1"/>
  <c r="G421" i="8"/>
  <c r="E421" i="8" s="1"/>
  <c r="G420" i="8"/>
  <c r="E420" i="8" s="1"/>
  <c r="G38" i="8"/>
  <c r="J485" i="8"/>
  <c r="H485" i="8" s="1"/>
  <c r="J549" i="8"/>
  <c r="H549" i="8" s="1"/>
  <c r="J79" i="8"/>
  <c r="H79" i="8" s="1"/>
  <c r="J569" i="8"/>
  <c r="H569" i="8" s="1"/>
  <c r="J510" i="8"/>
  <c r="H510" i="8" s="1"/>
  <c r="J385" i="8"/>
  <c r="H385" i="8" s="1"/>
  <c r="J635" i="8"/>
  <c r="H635" i="8" s="1"/>
  <c r="J293" i="8"/>
  <c r="H293" i="8" s="1"/>
  <c r="J30" i="8"/>
  <c r="H30" i="8" s="1"/>
  <c r="J643" i="8"/>
  <c r="H627" i="8"/>
  <c r="E627" i="8"/>
  <c r="J626" i="8"/>
  <c r="H626" i="8" s="1"/>
  <c r="G626" i="8"/>
  <c r="J281" i="8"/>
  <c r="H281" i="8" s="1"/>
  <c r="E281" i="8"/>
  <c r="G404" i="8"/>
  <c r="J404" i="8"/>
  <c r="H404" i="8" s="1"/>
  <c r="J374" i="8"/>
  <c r="H374" i="8" s="1"/>
  <c r="E374" i="8"/>
  <c r="J251" i="8"/>
  <c r="H251" i="8" s="1"/>
  <c r="E251" i="8"/>
  <c r="J342" i="8"/>
  <c r="H342" i="8" s="1"/>
  <c r="E342" i="8"/>
  <c r="J479" i="8"/>
  <c r="H479" i="8" s="1"/>
  <c r="H480" i="8"/>
  <c r="E480" i="8"/>
  <c r="E479" i="8"/>
  <c r="E569" i="8" l="1"/>
  <c r="E626" i="8"/>
  <c r="E38" i="8"/>
  <c r="E423" i="8"/>
  <c r="E404" i="8"/>
  <c r="H643" i="8"/>
  <c r="H644" i="8"/>
  <c r="E644" i="8"/>
  <c r="E643" i="8"/>
  <c r="J460" i="8"/>
  <c r="H460" i="8" s="1"/>
  <c r="H461" i="8"/>
  <c r="E461" i="8"/>
  <c r="E460" i="8"/>
  <c r="J316" i="8"/>
  <c r="H316" i="8" s="1"/>
  <c r="H526" i="8"/>
  <c r="E526" i="8"/>
  <c r="E316" i="8"/>
  <c r="J525" i="8"/>
  <c r="H525" i="8" s="1"/>
  <c r="E525" i="8"/>
  <c r="E301" i="8" l="1"/>
  <c r="J301" i="8"/>
  <c r="H301" i="8" l="1"/>
  <c r="J465" i="8"/>
  <c r="J496" i="8"/>
  <c r="J418" i="8" l="1"/>
  <c r="J300" i="8"/>
  <c r="G158" i="8" l="1"/>
  <c r="E158" i="8" s="1"/>
  <c r="E23" i="8" l="1"/>
  <c r="G623" i="8" l="1"/>
  <c r="E623" i="8" s="1"/>
  <c r="G371" i="8"/>
  <c r="E371" i="8" s="1"/>
  <c r="G401" i="8"/>
  <c r="E401" i="8" s="1"/>
  <c r="G640" i="8"/>
  <c r="E640" i="8" s="1"/>
  <c r="G522" i="8"/>
  <c r="E522" i="8" s="1"/>
  <c r="G496" i="8"/>
  <c r="E496" i="8" s="1"/>
  <c r="G476" i="8"/>
  <c r="E476" i="8" s="1"/>
  <c r="G313" i="8"/>
  <c r="E313" i="8" s="1"/>
  <c r="G458" i="8"/>
  <c r="E458" i="8" s="1"/>
  <c r="G298" i="8" l="1"/>
  <c r="E298" i="8" s="1"/>
  <c r="G277" i="8"/>
  <c r="E277" i="8" s="1"/>
  <c r="G339" i="8"/>
  <c r="E339" i="8" s="1"/>
  <c r="G248" i="8"/>
  <c r="G215" i="8"/>
  <c r="E248" i="8" l="1"/>
  <c r="E215" i="8"/>
  <c r="G183" i="8"/>
  <c r="E183" i="8" s="1"/>
  <c r="G171" i="8"/>
  <c r="E171" i="8" s="1"/>
  <c r="G146" i="8"/>
  <c r="E146" i="8" s="1"/>
  <c r="G121" i="8"/>
  <c r="E121" i="8" s="1"/>
  <c r="G134" i="8"/>
  <c r="G106" i="8"/>
  <c r="E106" i="8" s="1"/>
  <c r="G53" i="8"/>
  <c r="E134" i="8" l="1"/>
  <c r="E53" i="8"/>
  <c r="G13" i="8"/>
  <c r="G440" i="8"/>
  <c r="E440" i="8" s="1"/>
  <c r="E13" i="8" l="1"/>
  <c r="J640" i="8"/>
  <c r="H640" i="8" s="1"/>
  <c r="J277" i="8"/>
  <c r="H277" i="8" s="1"/>
  <c r="J440" i="8"/>
  <c r="H440" i="8" s="1"/>
  <c r="H496" i="8"/>
  <c r="J401" i="8"/>
  <c r="H401" i="8" s="1"/>
  <c r="J371" i="8"/>
  <c r="H371" i="8" s="1"/>
  <c r="J121" i="8"/>
  <c r="H121" i="8" s="1"/>
  <c r="J158" i="8"/>
  <c r="H158" i="8" s="1"/>
  <c r="J106" i="8"/>
  <c r="H106" i="8" s="1"/>
  <c r="J248" i="8"/>
  <c r="H248" i="8" s="1"/>
  <c r="J339" i="8"/>
  <c r="H339" i="8" s="1"/>
  <c r="J476" i="8"/>
  <c r="H476" i="8" s="1"/>
  <c r="J623" i="8"/>
  <c r="H623" i="8" s="1"/>
  <c r="J458" i="8"/>
  <c r="H458" i="8" s="1"/>
  <c r="J313" i="8"/>
  <c r="H313" i="8" s="1"/>
  <c r="J522" i="8"/>
  <c r="H522" i="8" s="1"/>
  <c r="J298" i="8"/>
  <c r="H298" i="8" s="1"/>
  <c r="J53" i="8"/>
  <c r="H53" i="8" s="1"/>
  <c r="J540" i="8"/>
  <c r="H540" i="8" s="1"/>
  <c r="J539" i="8"/>
  <c r="H539" i="8" s="1"/>
  <c r="J62" i="8"/>
  <c r="H62" i="8" s="1"/>
  <c r="J61" i="8"/>
  <c r="H61" i="8" s="1"/>
  <c r="J60" i="8"/>
  <c r="H60" i="8" s="1"/>
  <c r="J484" i="8"/>
  <c r="H484" i="8" s="1"/>
  <c r="J538" i="8"/>
  <c r="H538" i="8" s="1"/>
  <c r="J423" i="8"/>
  <c r="H423" i="8" s="1"/>
  <c r="H465" i="8"/>
  <c r="E434" i="8" l="1"/>
  <c r="J434" i="8"/>
  <c r="H434" i="8" s="1"/>
  <c r="G294" i="8"/>
  <c r="E294" i="8" s="1"/>
  <c r="G280" i="8"/>
  <c r="E280" i="8" s="1"/>
  <c r="G36" i="8"/>
  <c r="E36" i="8" s="1"/>
  <c r="G430" i="8"/>
  <c r="E430" i="8" s="1"/>
  <c r="G323" i="8"/>
  <c r="E323" i="8" s="1"/>
  <c r="G322" i="8"/>
  <c r="E322" i="8" s="1"/>
  <c r="G80" i="8"/>
  <c r="E80" i="8" s="1"/>
  <c r="G79" i="8"/>
  <c r="E79" i="8" s="1"/>
  <c r="J544" i="8" l="1"/>
  <c r="G625" i="8"/>
  <c r="E625" i="8" s="1"/>
  <c r="G373" i="8"/>
  <c r="E373" i="8" s="1"/>
  <c r="G403" i="8"/>
  <c r="E403" i="8" s="1"/>
  <c r="G642" i="8"/>
  <c r="E642" i="8" s="1"/>
  <c r="G524" i="8"/>
  <c r="E524" i="8" s="1"/>
  <c r="G498" i="8"/>
  <c r="E498" i="8" s="1"/>
  <c r="G478" i="8"/>
  <c r="E478" i="8" s="1"/>
  <c r="G315" i="8"/>
  <c r="G300" i="8"/>
  <c r="E300" i="8" s="1"/>
  <c r="G279" i="8"/>
  <c r="E279" i="8" s="1"/>
  <c r="G341" i="8"/>
  <c r="E341" i="8" s="1"/>
  <c r="E315" i="8" l="1"/>
  <c r="G250" i="8"/>
  <c r="E250" i="8" s="1"/>
  <c r="G108" i="8"/>
  <c r="E108" i="8" s="1"/>
  <c r="G24" i="8"/>
  <c r="G14" i="8"/>
  <c r="G443" i="8"/>
  <c r="E443" i="8" s="1"/>
  <c r="G442" i="8"/>
  <c r="E442" i="8" s="1"/>
  <c r="E24" i="8" l="1"/>
  <c r="E14" i="8"/>
  <c r="G624" i="8"/>
  <c r="E624" i="8" s="1"/>
  <c r="G372" i="8"/>
  <c r="E372" i="8" s="1"/>
  <c r="G402" i="8"/>
  <c r="E402" i="8" s="1"/>
  <c r="G641" i="8"/>
  <c r="E641" i="8" s="1"/>
  <c r="G523" i="8"/>
  <c r="E523" i="8" s="1"/>
  <c r="G497" i="8"/>
  <c r="E497" i="8" s="1"/>
  <c r="G477" i="8"/>
  <c r="G459" i="8"/>
  <c r="E459" i="8" s="1"/>
  <c r="G314" i="8"/>
  <c r="E314" i="8" s="1"/>
  <c r="G299" i="8"/>
  <c r="E299" i="8" s="1"/>
  <c r="G278" i="8"/>
  <c r="E278" i="8" s="1"/>
  <c r="G340" i="8"/>
  <c r="E340" i="8" s="1"/>
  <c r="G249" i="8"/>
  <c r="E249" i="8" s="1"/>
  <c r="E159" i="8"/>
  <c r="G122" i="8"/>
  <c r="E477" i="8" l="1"/>
  <c r="E122" i="8"/>
  <c r="G107" i="8"/>
  <c r="E107" i="8" s="1"/>
  <c r="G54" i="8"/>
  <c r="G441" i="8"/>
  <c r="E441" i="8" s="1"/>
  <c r="E54" i="8" l="1"/>
  <c r="J641" i="8"/>
  <c r="H641" i="8" s="1"/>
  <c r="J278" i="8"/>
  <c r="H278" i="8" s="1"/>
  <c r="J441" i="8"/>
  <c r="H441" i="8" s="1"/>
  <c r="J497" i="8"/>
  <c r="H497" i="8" s="1"/>
  <c r="J402" i="8"/>
  <c r="H402" i="8" s="1"/>
  <c r="J372" i="8"/>
  <c r="H372" i="8" s="1"/>
  <c r="J107" i="8"/>
  <c r="H107" i="8" s="1"/>
  <c r="J249" i="8"/>
  <c r="H249" i="8" s="1"/>
  <c r="J340" i="8"/>
  <c r="H340" i="8" s="1"/>
  <c r="J624" i="8"/>
  <c r="H624" i="8" s="1"/>
  <c r="J477" i="8" l="1"/>
  <c r="H477" i="8" s="1"/>
  <c r="J478" i="8"/>
  <c r="J314" i="8"/>
  <c r="H314" i="8" s="1"/>
  <c r="J523" i="8"/>
  <c r="H523" i="8" s="1"/>
  <c r="J299" i="8"/>
  <c r="H299" i="8" s="1"/>
  <c r="J422" i="8"/>
  <c r="H422" i="8" s="1"/>
  <c r="J421" i="8"/>
  <c r="H421" i="8" s="1"/>
  <c r="J63" i="8"/>
  <c r="H63" i="8" s="1"/>
  <c r="J294" i="8"/>
  <c r="H294" i="8" s="1"/>
  <c r="J36" i="8"/>
  <c r="H36" i="8" s="1"/>
  <c r="J566" i="8"/>
  <c r="H566" i="8" s="1"/>
  <c r="J542" i="8"/>
  <c r="H542" i="8" s="1"/>
  <c r="J541" i="8"/>
  <c r="H541" i="8" s="1"/>
  <c r="J543" i="8"/>
  <c r="H543" i="8" s="1"/>
  <c r="E435" i="8"/>
  <c r="G435" i="8"/>
  <c r="H435" i="8"/>
  <c r="J435" i="8"/>
  <c r="G64" i="8"/>
  <c r="E64" i="8" s="1"/>
  <c r="G293" i="8"/>
  <c r="E293" i="8" s="1"/>
  <c r="G538" i="8"/>
  <c r="E538" i="8" s="1"/>
  <c r="H478" i="8" l="1"/>
  <c r="G292" i="8"/>
  <c r="E292" i="8" s="1"/>
  <c r="G291" i="8"/>
  <c r="E291" i="8" s="1"/>
  <c r="G636" i="8"/>
  <c r="E636" i="8" s="1"/>
  <c r="G635" i="8"/>
  <c r="E635" i="8" s="1"/>
  <c r="J498" i="8" l="1"/>
  <c r="H498" i="8" s="1"/>
  <c r="J625" i="8"/>
  <c r="H625" i="8" s="1"/>
  <c r="J642" i="8"/>
  <c r="J279" i="8"/>
  <c r="H279" i="8" s="1"/>
  <c r="J442" i="8"/>
  <c r="H442" i="8" s="1"/>
  <c r="H642" i="8" l="1"/>
  <c r="J373" i="8"/>
  <c r="H373" i="8" s="1"/>
  <c r="J403" i="8"/>
  <c r="H403" i="8" s="1"/>
  <c r="J524" i="8"/>
  <c r="H524" i="8" s="1"/>
  <c r="J315" i="8"/>
  <c r="H315" i="8" s="1"/>
  <c r="H300" i="8"/>
  <c r="J108" i="8"/>
  <c r="H108" i="8" s="1"/>
  <c r="J24" i="8"/>
  <c r="H24" i="8" s="1"/>
  <c r="J14" i="8"/>
  <c r="J241" i="8"/>
  <c r="H241" i="8" s="1"/>
  <c r="J231" i="8"/>
  <c r="H544" i="8"/>
  <c r="J420" i="8"/>
  <c r="H420" i="8" s="1"/>
  <c r="J419" i="8"/>
  <c r="H419" i="8" s="1"/>
  <c r="H418" i="8"/>
  <c r="G69" i="8"/>
  <c r="E69" i="8" s="1"/>
  <c r="G68" i="8"/>
  <c r="E68" i="8" s="1"/>
  <c r="G447" i="8"/>
  <c r="G565" i="8"/>
  <c r="G537" i="8"/>
  <c r="E537" i="8" s="1"/>
  <c r="G536" i="8"/>
  <c r="E536" i="8" s="1"/>
  <c r="G419" i="8"/>
  <c r="E419" i="8" s="1"/>
  <c r="G485" i="8"/>
  <c r="G484" i="8"/>
  <c r="E484" i="8" s="1"/>
  <c r="E565" i="8" l="1"/>
  <c r="E447" i="8"/>
  <c r="E485" i="8"/>
  <c r="H14" i="8"/>
  <c r="H231" i="8"/>
  <c r="G59" i="8"/>
  <c r="E59" i="8" s="1"/>
  <c r="G60" i="8"/>
  <c r="E60" i="8" s="1"/>
  <c r="G30" i="8"/>
  <c r="E30" i="8" l="1"/>
  <c r="D562" i="8"/>
  <c r="D446" i="8"/>
  <c r="D384" i="8"/>
  <c r="D240" i="8"/>
  <c r="D231" i="8"/>
  <c r="D238" i="8" l="1"/>
  <c r="D229" i="8"/>
  <c r="D194" i="8"/>
  <c r="D192" i="8"/>
  <c r="D67" i="8"/>
  <c r="G521" i="8" l="1"/>
  <c r="E521" i="8" s="1"/>
  <c r="G622" i="8" l="1"/>
  <c r="H622" i="8"/>
  <c r="J433" i="8"/>
  <c r="H433" i="8" s="1"/>
  <c r="G433" i="8"/>
  <c r="E433" i="8" s="1"/>
  <c r="J261" i="8"/>
  <c r="H261" i="8" s="1"/>
  <c r="J439" i="8"/>
  <c r="G439" i="8"/>
  <c r="E439" i="8" s="1"/>
  <c r="J416" i="8"/>
  <c r="H416" i="8" s="1"/>
  <c r="J417" i="8"/>
  <c r="H417" i="8" s="1"/>
  <c r="G509" i="8"/>
  <c r="E509" i="8" s="1"/>
  <c r="H439" i="8" l="1"/>
  <c r="G562" i="8"/>
  <c r="E562" i="8" s="1"/>
  <c r="G67" i="8"/>
  <c r="G418" i="8"/>
  <c r="E418" i="8" s="1"/>
  <c r="E67" i="8" l="1"/>
  <c r="J562" i="8"/>
  <c r="J621" i="8"/>
  <c r="E622" i="8"/>
  <c r="E621" i="8"/>
  <c r="G438" i="8"/>
  <c r="E438" i="8" s="1"/>
  <c r="J438" i="8"/>
  <c r="H438" i="8" s="1"/>
  <c r="H621" i="8" l="1"/>
  <c r="G398" i="8"/>
  <c r="J620" i="8"/>
  <c r="H620" i="8" s="1"/>
  <c r="G620" i="8"/>
  <c r="E620" i="8" s="1"/>
  <c r="J437" i="8"/>
  <c r="H437" i="8" s="1"/>
  <c r="E437" i="8" l="1"/>
  <c r="G429" i="8"/>
  <c r="E429" i="8" s="1"/>
  <c r="J537" i="8" l="1"/>
  <c r="J536" i="8"/>
  <c r="H536" i="8" s="1"/>
  <c r="H562" i="8"/>
  <c r="J415" i="8"/>
  <c r="H415" i="8" s="1"/>
  <c r="H67" i="8"/>
  <c r="J414" i="8"/>
  <c r="H414" i="8" s="1"/>
  <c r="J240" i="8"/>
  <c r="J432" i="8"/>
  <c r="H432" i="8" s="1"/>
  <c r="E432" i="8"/>
  <c r="J436" i="8"/>
  <c r="H436" i="8" s="1"/>
  <c r="E240" i="8"/>
  <c r="G417" i="8"/>
  <c r="E417" i="8" s="1"/>
  <c r="G416" i="8"/>
  <c r="E416" i="8" s="1"/>
  <c r="G415" i="8"/>
  <c r="E415" i="8" s="1"/>
  <c r="H240" i="8" l="1"/>
  <c r="H537" i="8"/>
  <c r="G428" i="8"/>
  <c r="E428" i="8" s="1"/>
  <c r="G414" i="8"/>
  <c r="E414" i="8" s="1"/>
  <c r="J413" i="8"/>
  <c r="H413" i="8" s="1"/>
  <c r="G413" i="8"/>
  <c r="E413" i="8" s="1"/>
  <c r="G193" i="8"/>
  <c r="E193" i="8" l="1"/>
  <c r="G231" i="8"/>
  <c r="E231" i="8" s="1"/>
  <c r="J535" i="8" l="1"/>
  <c r="J431" i="8"/>
  <c r="J653" i="8" s="1"/>
  <c r="L654" i="8" s="1"/>
  <c r="G431" i="8"/>
  <c r="E431" i="8" l="1"/>
  <c r="W2" i="8" s="1"/>
  <c r="W4" i="8" s="1"/>
  <c r="H535" i="8"/>
  <c r="H431" i="8"/>
  <c r="G384" i="8"/>
  <c r="E384" i="8" s="1"/>
  <c r="G238" i="8"/>
  <c r="E238" i="8" s="1"/>
  <c r="G229" i="8"/>
  <c r="X2" i="8" l="1"/>
  <c r="X4" i="8" s="1"/>
  <c r="E229" i="8"/>
  <c r="G446" i="8"/>
  <c r="E446" i="8" s="1"/>
  <c r="G194" i="8"/>
  <c r="G209" i="8" s="1"/>
  <c r="G535" i="8"/>
  <c r="E535" i="8" s="1"/>
  <c r="G192" i="8"/>
  <c r="G653" i="8" l="1"/>
  <c r="G654" i="8" s="1"/>
  <c r="E194" i="8"/>
  <c r="E192" i="8"/>
  <c r="J65" i="8"/>
  <c r="H65" i="8" s="1"/>
  <c r="J59" i="8" l="1"/>
  <c r="J209" i="8" s="1"/>
  <c r="L210" i="8" s="1"/>
  <c r="H638" i="8"/>
  <c r="H637" i="8"/>
  <c r="H521" i="8"/>
  <c r="H520" i="8"/>
  <c r="H519" i="8"/>
  <c r="H495" i="8"/>
  <c r="H494" i="8"/>
  <c r="H493" i="8"/>
  <c r="H475" i="8"/>
  <c r="H474" i="8"/>
  <c r="H473" i="8"/>
  <c r="H457" i="8"/>
  <c r="H456" i="8"/>
  <c r="H455" i="8"/>
  <c r="H400" i="8"/>
  <c r="H399" i="8"/>
  <c r="H398" i="8"/>
  <c r="H370" i="8"/>
  <c r="H369" i="8"/>
  <c r="H368" i="8"/>
  <c r="H338" i="8"/>
  <c r="H337" i="8"/>
  <c r="H336" i="8"/>
  <c r="H312" i="8"/>
  <c r="H311" i="8"/>
  <c r="H310" i="8"/>
  <c r="H297" i="8"/>
  <c r="H296" i="8"/>
  <c r="H295" i="8"/>
  <c r="H276" i="8"/>
  <c r="H275" i="8"/>
  <c r="H274" i="8"/>
  <c r="H247" i="8"/>
  <c r="H246" i="8"/>
  <c r="H245" i="8"/>
  <c r="H213" i="8"/>
  <c r="H212" i="8"/>
  <c r="H182" i="8"/>
  <c r="H181" i="8"/>
  <c r="H180" i="8"/>
  <c r="H170" i="8"/>
  <c r="H169" i="8"/>
  <c r="H168" i="8"/>
  <c r="H156" i="8"/>
  <c r="H155" i="8"/>
  <c r="H145" i="8"/>
  <c r="H144" i="8"/>
  <c r="H143" i="8"/>
  <c r="H133" i="8"/>
  <c r="H132" i="8"/>
  <c r="H131" i="8"/>
  <c r="H120" i="8"/>
  <c r="H119" i="8"/>
  <c r="H118" i="8"/>
  <c r="H105" i="8"/>
  <c r="H104" i="8"/>
  <c r="H103" i="8"/>
  <c r="H90" i="8"/>
  <c r="E639" i="8"/>
  <c r="E638" i="8"/>
  <c r="E637" i="8"/>
  <c r="E520" i="8"/>
  <c r="E519" i="8"/>
  <c r="E495" i="8"/>
  <c r="E494" i="8"/>
  <c r="E493" i="8"/>
  <c r="E475" i="8"/>
  <c r="E474" i="8"/>
  <c r="E473" i="8"/>
  <c r="E457" i="8"/>
  <c r="E456" i="8"/>
  <c r="E455" i="8"/>
  <c r="E400" i="8"/>
  <c r="E399" i="8"/>
  <c r="E398" i="8"/>
  <c r="E370" i="8"/>
  <c r="E369" i="8"/>
  <c r="E368" i="8"/>
  <c r="E338" i="8"/>
  <c r="E337" i="8"/>
  <c r="E336" i="8"/>
  <c r="E328" i="8"/>
  <c r="E312" i="8"/>
  <c r="E311" i="8"/>
  <c r="E310" i="8"/>
  <c r="E297" i="8"/>
  <c r="E296" i="8"/>
  <c r="E295" i="8"/>
  <c r="E276" i="8"/>
  <c r="E275" i="8"/>
  <c r="E274" i="8"/>
  <c r="E247" i="8"/>
  <c r="E246" i="8"/>
  <c r="E245" i="8"/>
  <c r="E214" i="8"/>
  <c r="E213" i="8"/>
  <c r="E212" i="8"/>
  <c r="E182" i="8"/>
  <c r="E181" i="8"/>
  <c r="E180" i="8"/>
  <c r="E170" i="8"/>
  <c r="E169" i="8"/>
  <c r="E168" i="8"/>
  <c r="E157" i="8"/>
  <c r="E156" i="8"/>
  <c r="E155" i="8"/>
  <c r="E145" i="8"/>
  <c r="E144" i="8"/>
  <c r="E143" i="8"/>
  <c r="E133" i="8"/>
  <c r="E132" i="8"/>
  <c r="E131" i="8"/>
  <c r="E120" i="8"/>
  <c r="E119" i="8"/>
  <c r="E118" i="8"/>
  <c r="E105" i="8"/>
  <c r="E104" i="8"/>
  <c r="E103" i="8"/>
  <c r="E91" i="8"/>
  <c r="E90" i="8"/>
  <c r="H52" i="8"/>
  <c r="H51" i="8"/>
  <c r="H50" i="8"/>
  <c r="H22" i="8"/>
  <c r="H21" i="8"/>
  <c r="H20" i="8"/>
  <c r="H12" i="8"/>
  <c r="H11" i="8"/>
  <c r="H10" i="8"/>
  <c r="E11" i="8"/>
  <c r="E12" i="8"/>
  <c r="E20" i="8"/>
  <c r="E21" i="8"/>
  <c r="E22" i="8"/>
  <c r="E50" i="8"/>
  <c r="E51" i="8"/>
  <c r="E52" i="8"/>
  <c r="E10" i="8"/>
  <c r="R2" i="8" l="1"/>
  <c r="R4" i="8" s="1"/>
  <c r="E653" i="8"/>
  <c r="K654" i="8" s="1"/>
  <c r="Q2" i="8"/>
  <c r="Q4" i="8" s="1"/>
  <c r="E209" i="8"/>
  <c r="H653" i="8"/>
  <c r="H59" i="8"/>
  <c r="E654" i="8" l="1"/>
  <c r="Z3" i="8" s="1"/>
  <c r="Z4" i="8" s="1"/>
  <c r="K210" i="8"/>
  <c r="Z8" i="8"/>
  <c r="H209" i="8"/>
  <c r="J654" i="8"/>
  <c r="H654" i="8" l="1"/>
  <c r="AA8" i="8" l="1"/>
  <c r="AA3" i="8"/>
  <c r="AA4" i="8" s="1"/>
</calcChain>
</file>

<file path=xl/sharedStrings.xml><?xml version="1.0" encoding="utf-8"?>
<sst xmlns="http://schemas.openxmlformats.org/spreadsheetml/2006/main" count="1051" uniqueCount="548">
  <si>
    <t>ОТЧЕТ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</si>
  <si>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</si>
  <si>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</si>
  <si>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</si>
  <si>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</si>
  <si>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</si>
  <si>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</si>
  <si>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</si>
  <si>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</si>
  <si>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</si>
  <si>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</si>
  <si>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</si>
  <si>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</si>
  <si>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Всего по ВОДОСНАБЖЕНИЮ</t>
  </si>
  <si>
    <t>ВОДООТВЕДЕНИЕ</t>
  </si>
  <si>
    <t>ИТОГО по ВОДООТВЕДЕНИЮ</t>
  </si>
  <si>
    <t xml:space="preserve">Финансовый директор </t>
  </si>
  <si>
    <t>Е.С. Александрова</t>
  </si>
  <si>
    <t>С.В. Туршатова</t>
  </si>
  <si>
    <t xml:space="preserve">Строительство ВПС-21. (Переоценка запасов подземных вод, ПИР.) </t>
  </si>
  <si>
    <t>ВСЕГО по ВОДОСНАБЖЕНИЮ и ВОДООТВЕДЕНИЮ</t>
  </si>
  <si>
    <t>ПИР и СМР. Реконструкция Главного Левобережного коллектора от КК-1 до К-11 Д=2000 мм протяженностью L=1300 м (инв.№ 30014578)</t>
  </si>
  <si>
    <t>Заработная плата (январь)</t>
  </si>
  <si>
    <t xml:space="preserve">ПИР.СМР.Реконструкция первичного отстойника №  5 (система водосливов) </t>
  </si>
  <si>
    <t>ПИР.СМР.Реконструкция вторичного отстойника №  3 (система илоскребов)</t>
  </si>
  <si>
    <t>ПИР и СМР. Реконструкция водовода д=500 мм по ул. Красный октябрь  L=300 п.м</t>
  </si>
  <si>
    <t xml:space="preserve"> Создание систем охраны периметра  ВПС-3а, ВПС-4, ВПС-6, ВПС-9.</t>
  </si>
  <si>
    <t>Заработная плата (февраль)</t>
  </si>
  <si>
    <t>Заработная плата (март)</t>
  </si>
  <si>
    <t>ПИР, СМР. Реконструкция системы водоотведения мкр. Тепличный со строительством КНС:Строительство 2-х напорных ниток к/сетей L=60 п.м.Строительство самотечной линии Д=500 м.м. L=25 п.м.Строительство КНС мощностью 3000 м3/сутки</t>
  </si>
  <si>
    <t>ПИР и СМР Реконструкция канализационных сетей жилой зоны городского микрорайона Никольское.</t>
  </si>
  <si>
    <t xml:space="preserve">ПИР и СМР Реконструкция канализационной линии по Ленинскому проспекту 8/1, Д= 300 мм протяженностью L=190 м </t>
  </si>
  <si>
    <t>ООО "СтройПолимерМонтаж"</t>
  </si>
  <si>
    <t>Д.ДВК.ВЖВК.ДКС-31052019-0003, доп. соглашение Д.ДВК.ВЖКВ.ДКС-31052019-0003ДС-0001 от 24.062019</t>
  </si>
  <si>
    <t>Д.ДВК.ВЖВК.ДКС.ОПР-25062019-0003 от 25.06.2019</t>
  </si>
  <si>
    <t>Начальник ОПиРИП</t>
  </si>
  <si>
    <t xml:space="preserve"> ООО ЭНЕРГОИМПУЛЬС</t>
  </si>
  <si>
    <t xml:space="preserve">ООО ТЕХНОЛОГИИ 21 ВЕК </t>
  </si>
  <si>
    <t>№Д.ДВК.ВЖВК.ДКС.ОКС-12112019-0001 от 12.11.2019</t>
  </si>
  <si>
    <t xml:space="preserve"> ООО ТЕХНОЛОГИИ 21 ВЕК</t>
  </si>
  <si>
    <t>Д.ДВК.ВЖВК.ДКС-18112019-0001 от 18.11.2019</t>
  </si>
  <si>
    <t>ПИР, СМР. Реконструкция канализационного коллектора L=2452 м.п.  Д=800-1000мм на Д=1000мм по ул.Землячки 9-11, по ул.Витрука, вдоль Ленинского пр-та  до ул. 25 Января 72 (инв.№ 30012510)</t>
  </si>
  <si>
    <t>ПИР и СМР. СПИВ на ВПС-8 с двухсекционным резервуаром-отстойником и встроенным машинным залом, 3-мя площадками подсушивания осадка, системой самотечных и напорных сетей, КНС перекачки технологических и хоз-бытовых стоков в городскую канализацию, внеплощадочной напорной канализацией.</t>
  </si>
  <si>
    <t>ПИР и СМР. СПИВ на ВПС-12  с двухсекционным резервуаром-отстойником и встроенным машинным залом, 3-мя площадками подсушивания осадка, системой самотечных и напорных сетей, КНС перекачки технологических и хоз-бытовых стоков в городскую канализацию, внеплощадочной напорной канализацией.</t>
  </si>
  <si>
    <t xml:space="preserve">Комплекс мероприятий по обеспечению инженерной инфраструктуры для ВПС-21 </t>
  </si>
  <si>
    <t>ПИР и СМР. Вынос водоводов д=600мм и д=1000мм из под насыпи (существующая глубина заложения до 10м) на участке от ПС-14 до БСМП протяженность 1000 пм ПИР и СМР (инв. номер 30008483).</t>
  </si>
  <si>
    <t>ПИР, СМР. Реконструкция напорного водовода Ø1000мм. от ВПС-11/2 до ВПС-11/3 срок реализации 2020-2023гг. Инвентарный номер 30000271 (правая ветка)</t>
  </si>
  <si>
    <t>ПИР. Строительство двух водопроводных линий Д = 400 мм  по ул. Изыскателей до точек врезки в водовод Д1000 мм в районе ул. Куйбышева L≈1300 м.п., каждая.</t>
  </si>
  <si>
    <t>СМР. Реконструкция ВПС-11/2. Комплекс работ по техническому перевооружению оборудования машинных залов. Строительство ОРУ-35 кВ  (инв. №10000220)</t>
  </si>
  <si>
    <t>СМР. Реконструкция  ВПС-6. Комплекс работ по техническому перевооружению оборудования машинных залов. (инв. №100000077)</t>
  </si>
  <si>
    <t xml:space="preserve">ПИР,СМР. Реконструкция  ПС-5. </t>
  </si>
  <si>
    <t>СМР. Реконструкция  ВПС-3а. Комплекс работ по техническому перевооружению оборудования машинных залов. (инв. №10000071)</t>
  </si>
  <si>
    <t>Автоматизация ПНС, установка расходомеров для организации учета расходов воды по зонам</t>
  </si>
  <si>
    <t xml:space="preserve">ПИР и СМР. Строительство сооружений доочистки с внедрением реагентного удаления фосфатов и механического удаления примесей на ПОС </t>
  </si>
  <si>
    <t>ПИР и СМР Реконструкция канализационной линии по ул. Дорожная
 Д= 800/1000 мм протяженностью L= 2092 м (инв.№ 3000577)</t>
  </si>
  <si>
    <t>ПИР и СМР Реконструкция канализационной линии по ул. Геофизическая (ул. Мазлумова) до КНС-20, Д= 900 мм протяженностью L= 1602 м (инв.№ 3000577)</t>
  </si>
  <si>
    <t>ПИР и СМР. Монтаж закрытых ж/б монолитных коллекторов выпуска очищенной сточной воды протяженностью L≈3120 м с шириной сечения 2000 мм в две ветки на ПОС. Предусмотреть не затопляемый береговой выпуск.</t>
  </si>
  <si>
    <t>ПИР и СМР Реконструкция канализационных сетей жилой зоны ул. Чебышева с переключением многоквартирных домов на вновь построенный канализационный коллектор по ул. Дубровина.</t>
  </si>
  <si>
    <t>ПИР и СМР. Реконструкция коллектора Д1200 L-5800м.п. от ГКНС до ЛОС.</t>
  </si>
  <si>
    <t>ПИР, СМР. Реконструкция системы водоотведения квартала ограниченного улицами Красный Октябрь - пер. Отличников – Иркутская – Циолковского со строительством 2х КНС, самотечных и напорных канализационных линий.</t>
  </si>
  <si>
    <t>ПИР и СМР. Реконструкция ГКНС (инв. №10000470)  с заменой оборудования и автоматизацией</t>
  </si>
  <si>
    <t xml:space="preserve">ПИР и СМР. Строительство новой ГКНС </t>
  </si>
  <si>
    <t>ПИР. Строительство напорных канализационных линий Д=500 мм  L≈7000 м.п. каждая, по ул. Изыскателей, Беломорская, Калининградская, Планетная, Богатырская до разгрузочной камеры на канализационном коллекторе Д –1000 мм по ул. Землячки</t>
  </si>
  <si>
    <t>__</t>
  </si>
  <si>
    <t>Давальческий материал (январь)</t>
  </si>
  <si>
    <t>ООО "ТВ-Сервис"</t>
  </si>
  <si>
    <t>Д.ДВК.ВЖВК.ДКС-05092019-0003 05.09.2019</t>
  </si>
  <si>
    <t>№1110 от 20.01.2020</t>
  </si>
  <si>
    <t>№1204 от 24.01.2020</t>
  </si>
  <si>
    <t>ООО СВЯЗЬИНФОРМ</t>
  </si>
  <si>
    <t>Д.ДВК.ВЖВК.ДКС-05092019-0004</t>
  </si>
  <si>
    <t>№1213 от 27.01.2020</t>
  </si>
  <si>
    <t>№1262 от 29.01.2020</t>
  </si>
  <si>
    <t>ООО РВК.ЭКОСЕРВИС</t>
  </si>
  <si>
    <t>Д.ДВК.ВЖВК.ДКС-02072019-0002</t>
  </si>
  <si>
    <t>№1264 от 29.01.2020</t>
  </si>
  <si>
    <t>№1263 от 29.01.2020</t>
  </si>
  <si>
    <t>ООО ИНСЕРВИС</t>
  </si>
  <si>
    <t>Д.ДВК.ВЖВК.ДКС.ОПР-02072019-0007</t>
  </si>
  <si>
    <t>№1265 от 29.01.2020</t>
  </si>
  <si>
    <t>Капитализация процентов январь</t>
  </si>
  <si>
    <t>ООО СК РЕАЛ</t>
  </si>
  <si>
    <t xml:space="preserve">Д.ДВК.ВЖВК.ДКС-12112019-0002 от 12.11.2019 </t>
  </si>
  <si>
    <t>№1384 от 03.02.2020</t>
  </si>
  <si>
    <t>ООО ПРОЕКТИНЖИНИРИНГ</t>
  </si>
  <si>
    <t>Д.ДВК.ВЖВК.ДКС.ОПР-08072019-0007</t>
  </si>
  <si>
    <t>№1386 от 03.02.2020</t>
  </si>
  <si>
    <t>№3782 от 17.02.2020</t>
  </si>
  <si>
    <t>№3758 от 17.02.2020</t>
  </si>
  <si>
    <t>№3747 от 17.02.2020</t>
  </si>
  <si>
    <t>Лимкор ООО</t>
  </si>
  <si>
    <t>Д.ДВК.ВЖВК.ОУСС-30092019-0001 от 30.09.2019</t>
  </si>
  <si>
    <t>№3748 от 17.02.2020</t>
  </si>
  <si>
    <t>№4529 от 28.02.2020</t>
  </si>
  <si>
    <t>№4530 от 28.02.2020</t>
  </si>
  <si>
    <t>№4531 от 28.02.2020</t>
  </si>
  <si>
    <t>№4532 от 28.02.2020</t>
  </si>
  <si>
    <t>Давальческий материал (февраль)</t>
  </si>
  <si>
    <t>Капитализация процентов февраль</t>
  </si>
  <si>
    <t>ПИР и СМР. Реконструкция участка сборного водовода Д=1000мм. на ВПС-8 от скв.№№1;1а в сторону камеры переключений L-80п.м. с заменой секционной запорной арматуры: Д=800мм.-2ед.; Д=600мм.-1ед. (инв. номер 3. 30005457).</t>
  </si>
  <si>
    <t>ОАО "ВОРОНЕЖПРОЕКТ"</t>
  </si>
  <si>
    <t>№Д.ДВК.ВЖВК.ДКС.ОПР-19112019-0005</t>
  </si>
  <si>
    <t>ООО «СЭНТО»</t>
  </si>
  <si>
    <t xml:space="preserve">Дополнит.соглашение №1 от 28.02.2020г.Д.ДВК.ВЖВК.ДКС.ОПР-23072019-0002 7/23/2019 </t>
  </si>
  <si>
    <t>ООО УК "РОСВОДОКАНАЛ"</t>
  </si>
  <si>
    <t>№130/19 от 07.03.2019</t>
  </si>
  <si>
    <t>№5640 от 16.03.2020</t>
  </si>
  <si>
    <t>№5730 от 20.03.2020</t>
  </si>
  <si>
    <t>№5639 от 16.03.2020</t>
  </si>
  <si>
    <t>ПАО "МРСК ЦЕНТРА"</t>
  </si>
  <si>
    <t>№6180 от 27.03.2020</t>
  </si>
  <si>
    <t>Капитализация процентов март</t>
  </si>
  <si>
    <t>Работы/мероприятия  по  отладке/переустройству оборудования ОСК с целью повышения показателей энергоэффективности объектов централизованных систем  водоотведения.</t>
  </si>
  <si>
    <t>АО "МАЙ ПРОЕКТ"</t>
  </si>
  <si>
    <t>КС-2, КС-3 №28 от 28.01.2020</t>
  </si>
  <si>
    <t>КС-2, КС-3 №3 от 30.01.2020</t>
  </si>
  <si>
    <t>КС-2, КС-3 №3 от 10.02.2020</t>
  </si>
  <si>
    <t>КС-2, КС-3 №29 от 17.02.2020</t>
  </si>
  <si>
    <t>Акт №4а от 20.01.2020</t>
  </si>
  <si>
    <t>КС-2, КС-3 №30 от 28.02.2020</t>
  </si>
  <si>
    <t xml:space="preserve">Д.ДВК.ВЖВК,ДПП-06082019-001 </t>
  </si>
  <si>
    <t>КС-2, КС-3 №31 от 18.03.2020</t>
  </si>
  <si>
    <t>Корректировочные КС-2, КС-3 №32 от 26.03.2020</t>
  </si>
  <si>
    <t>Акт о приемке-передаче №1 от 20.03.2020</t>
  </si>
  <si>
    <t>Акт сдачи-приемки вып. работ от 28.02.2020</t>
  </si>
  <si>
    <t>КС-2, КС-3 №4 от 18.02.2020</t>
  </si>
  <si>
    <t>КС-2, КС-3 №5 от 18.02.2020</t>
  </si>
  <si>
    <t>№4520 от 27.02.2020</t>
  </si>
  <si>
    <t>Выполнение комплекса работ для организации добычи подземных вод на ВЗУ-I Южно-Воронежского месторождения подземных вод (ВПС-21) в составе: проект разработки месторождения, включая программу мониторинга подземных вод и проект ЗСО.</t>
  </si>
  <si>
    <t xml:space="preserve">№8228 от 04.06.2020 </t>
  </si>
  <si>
    <t>№8229 от 04.06.2020</t>
  </si>
  <si>
    <t>ПРОЕКТИНЖИНИРИНГ ООО</t>
  </si>
  <si>
    <t>Д.ТД.ВЖВК.ДКС-12032020-0007 от 12.03.2020</t>
  </si>
  <si>
    <t>№8514 от 11.06.2020</t>
  </si>
  <si>
    <t>№8515 от 11.06.2020</t>
  </si>
  <si>
    <t>8516 от 11.06.2020</t>
  </si>
  <si>
    <t>№9010 от 30.06.2020</t>
  </si>
  <si>
    <t>№9011 от 30.06.2020</t>
  </si>
  <si>
    <t>ООО "ПОЛИПЛАСТИК Поволжье"</t>
  </si>
  <si>
    <t>Д.ТД.ВЖВК.ОУСС-28022020-0001 от 28.02.2020г</t>
  </si>
  <si>
    <t xml:space="preserve">№9014 от 30.06.2020 </t>
  </si>
  <si>
    <t>Д.ТД.ВЖВК.ОУСС-25022020-0002 от 25.02.2020г</t>
  </si>
  <si>
    <t>№9013 от 30.06.2020  часть</t>
  </si>
  <si>
    <t>№9013 от 30.06.2020 часть</t>
  </si>
  <si>
    <t>Д.ТД.ВЖВК.ОУСС-25022020-0002 от 25.02.2020</t>
  </si>
  <si>
    <t>№8822 от 22.06.2020</t>
  </si>
  <si>
    <t>Заработная плата (июнь)</t>
  </si>
  <si>
    <t xml:space="preserve">ОАО  "РЖД" </t>
  </si>
  <si>
    <t>№7919 от 20.05.2020</t>
  </si>
  <si>
    <t>№7920 от 20.05.2020</t>
  </si>
  <si>
    <t>№7929 от 20.05.2020</t>
  </si>
  <si>
    <t>№7934 от 20.05.2020</t>
  </si>
  <si>
    <t xml:space="preserve">Разработка рабочей документации и экспертиза ПИР ВПС-21 </t>
  </si>
  <si>
    <t>ООО "ИНЖЕНЕРНАЯ ГЕОДЕЗИЯ И ТОПОГРАФИЯ"</t>
  </si>
  <si>
    <t xml:space="preserve">Д.НД.ВЖВК.ДКС-17042020-0003 от 17.04.2020  </t>
  </si>
  <si>
    <t>№8096 от 29.05.2020</t>
  </si>
  <si>
    <t xml:space="preserve">№8150 от 29.05.2020 </t>
  </si>
  <si>
    <t>№8153 от 29.05.2020</t>
  </si>
  <si>
    <t>ТРАНСКОМДОН ООО</t>
  </si>
  <si>
    <t>Д.НД.ВЖВК.ДКС.ОПР-20042020-0002 от 20.04.2020</t>
  </si>
  <si>
    <t xml:space="preserve">№8152 от 29.05.2020 </t>
  </si>
  <si>
    <t>№7964 от 22.05.2020</t>
  </si>
  <si>
    <t>Капитализация процентов май</t>
  </si>
  <si>
    <t>-</t>
  </si>
  <si>
    <t>РУБИН - 7 ПАГК</t>
  </si>
  <si>
    <t>Д.ДВК.ВЖВК.ТД.ОГЭ-02102019-0001</t>
  </si>
  <si>
    <t>ЗАО "ВПЖТ"</t>
  </si>
  <si>
    <t>Заработная плата (май)</t>
  </si>
  <si>
    <r>
      <t xml:space="preserve">ПИР.СМР. Установка приборов учета качества сточных вод </t>
    </r>
    <r>
      <rPr>
        <b/>
        <sz val="11"/>
        <rFont val="Arial"/>
        <family val="2"/>
        <charset val="204"/>
      </rPr>
      <t>Правый берег</t>
    </r>
  </si>
  <si>
    <r>
      <t xml:space="preserve">ПИР.СМР. Установка приборов учета качества сточных вод </t>
    </r>
    <r>
      <rPr>
        <b/>
        <sz val="11"/>
        <rFont val="Arial"/>
        <family val="2"/>
        <charset val="204"/>
      </rPr>
      <t>Левый берег</t>
    </r>
  </si>
  <si>
    <t>КС-2, КС-3 №4 от 30.06.2020</t>
  </si>
  <si>
    <t>КС-2, КС-3 №3 от 30.06.2020</t>
  </si>
  <si>
    <t>КС-2, КС-3 №34 от 20.05.2020</t>
  </si>
  <si>
    <t>КС-2, КС-3 №35 от 21.05.2020</t>
  </si>
  <si>
    <t>КС-2, КС-3 №36 от 01.06.2020</t>
  </si>
  <si>
    <t>КС-2, КС-3 №37 от 01.06.2020</t>
  </si>
  <si>
    <t>КС-2, КС-3 №38 от 01.06.2020</t>
  </si>
  <si>
    <t>КС-2, КС-3 №10 от 21.05.2020</t>
  </si>
  <si>
    <t>КС-2, КС-3 №9 от 21.05.2020</t>
  </si>
  <si>
    <t>КС-2, КС-3 №11 от 29.05.2020</t>
  </si>
  <si>
    <t>КС-2, КС-3 №12 от 29.06.2020</t>
  </si>
  <si>
    <t>акт №3 от 30.04.2020</t>
  </si>
  <si>
    <t>акт №72 от 12.05.2020</t>
  </si>
  <si>
    <t>КС-2, КС-3 №6 от 29.05.2020</t>
  </si>
  <si>
    <t>Д.НД.ВЖВК.ДКС.ОПР-22042020-0001 №2 от 22.04.2020</t>
  </si>
  <si>
    <t>акт №2 от 28. 05.2020</t>
  </si>
  <si>
    <t xml:space="preserve">Д.НД.ВЖВК.ДКС.ОПР-30042020-0002 от 30.04.2020 </t>
  </si>
  <si>
    <t>Д.НД.ВЖВК.ДКС.ОКС-06052020-0006 от 06.05.2020</t>
  </si>
  <si>
    <t xml:space="preserve">ПИР, СМР. Строительство водопровода по переключению на централизованную систему водоснабжения потребителей, получающих холодное водоснабжение от локальных источников водоснабжения, принадлежащих АО «РЖД» (п. Первомайский, п. Придонской) </t>
  </si>
  <si>
    <t>ОАО "РЖД"</t>
  </si>
  <si>
    <t>№Д.ДВК.ВЖВК.ДКС.ОПР-27032020-0002 от 27.03.2020</t>
  </si>
  <si>
    <t xml:space="preserve">№6425 от 01.04.2020 </t>
  </si>
  <si>
    <t xml:space="preserve">№6426 от 01.04.2020 </t>
  </si>
  <si>
    <t xml:space="preserve">Д.ДВК.ВЖВК.ДКС.ОПР-27032020-0001 от 27.03.2020 </t>
  </si>
  <si>
    <t>№6429 от 01.04.2020</t>
  </si>
  <si>
    <t>№6430 от 01.04.2020</t>
  </si>
  <si>
    <t>МРСК Центра" (Филиал ПАО "МРСК Центра" - "Воронежэнерго</t>
  </si>
  <si>
    <t>№6828 от 20.04.2020</t>
  </si>
  <si>
    <t>№6947 от 23.04.2020</t>
  </si>
  <si>
    <t>№6985 от 27.04.2020</t>
  </si>
  <si>
    <t>№6986 от 27.04.2020</t>
  </si>
  <si>
    <t>Д.НД.ВЖВК.ДКС.ОПР-20042020-0003 от 20.04.2020</t>
  </si>
  <si>
    <t>№6987 от 27.04.2020</t>
  </si>
  <si>
    <t>№6988 от 27.04.2020</t>
  </si>
  <si>
    <t>Капитализация процентов апрель</t>
  </si>
  <si>
    <t>ОАО ВОРОНЕЖПРОЕКТ</t>
  </si>
  <si>
    <t xml:space="preserve">Д.ДВК.ВЖВК.ДКС.ОПР-15102019-0001 </t>
  </si>
  <si>
    <t>Заработная плата (апрель)</t>
  </si>
  <si>
    <t>Заработная плата апрель)</t>
  </si>
  <si>
    <t>КС-2, КС-3 №3 от 30.04.2020</t>
  </si>
  <si>
    <t>КС-2, КС-3 №5 от 30.04.2020</t>
  </si>
  <si>
    <t>КС-2, КС-3 №4 от 30.04.2020</t>
  </si>
  <si>
    <t>КС-2, КС-3 №33 от 16.04.2020</t>
  </si>
  <si>
    <t>Акт  №19 от 08.04.2020</t>
  </si>
  <si>
    <t>Акт №33 27.04.2020</t>
  </si>
  <si>
    <t>КС-2, КС-3 №8 от 24.04.2020</t>
  </si>
  <si>
    <t>КС-2, КС-3 №7 от 24.04.2020</t>
  </si>
  <si>
    <t>КС-2, КС-3 №6 от 24.04.2020</t>
  </si>
  <si>
    <t>счет-договор от 11.03.2020</t>
  </si>
  <si>
    <t>ГИДЭК ЗАО</t>
  </si>
  <si>
    <t>Д.ДВК.ВЖВК.ДКС.ОПР-31072019-0002  от 31.07.2019</t>
  </si>
  <si>
    <t>№8227 от 04.06.2020</t>
  </si>
  <si>
    <t>Заработная плата (июль)</t>
  </si>
  <si>
    <t>Заработная плата (август)</t>
  </si>
  <si>
    <t>Заработная плата (сентябрь)</t>
  </si>
  <si>
    <t>ООО СтройПолимерМонтаж</t>
  </si>
  <si>
    <t xml:space="preserve">ООО АРХСТРОЙПРОЕКТ </t>
  </si>
  <si>
    <t xml:space="preserve">ГАУ ВО ЦЕНТР ГОСЭКСПЕРТИЗЫ ПО ВОРОНЕЖСКОЙ ОБЛАСТИ </t>
  </si>
  <si>
    <t xml:space="preserve"> Д.НД.ВЖВК.ДКС.ОПР-13072020-0003 от 13.07.2020</t>
  </si>
  <si>
    <t>№9795 от 15.07.2020</t>
  </si>
  <si>
    <t>№9488 от 10.07.2020</t>
  </si>
  <si>
    <t>№9489 от 10.07.2020</t>
  </si>
  <si>
    <t>№9490 от 10.07.2020</t>
  </si>
  <si>
    <t>№9491 от 10.07.2020</t>
  </si>
  <si>
    <t>№9492 от 10.07.2020</t>
  </si>
  <si>
    <t>№10217 от 31.07.2020</t>
  </si>
  <si>
    <t>№10211 от 30.07.2020</t>
  </si>
  <si>
    <t>№10212 от 30.07.2020</t>
  </si>
  <si>
    <t>№867987 от 31.07.2020</t>
  </si>
  <si>
    <t>№867988 от 31.07.2020</t>
  </si>
  <si>
    <t>№867989 от 31.07.2020</t>
  </si>
  <si>
    <t>№9762 от 15.07.2020</t>
  </si>
  <si>
    <t>№9907 от 22.07.2020</t>
  </si>
  <si>
    <t>№9908 от 22.07.2020</t>
  </si>
  <si>
    <t>№10209 от 30.07.2020</t>
  </si>
  <si>
    <t>№10210 от 30.07.2020</t>
  </si>
  <si>
    <t>№9761 от 15.07.2020</t>
  </si>
  <si>
    <t>Д.ТД.ВЖВК.ДКС-20052020-0002 от 20.05.2020</t>
  </si>
  <si>
    <t>№11419 от 24.08.2020</t>
  </si>
  <si>
    <t>№11418 от 24.08.2020</t>
  </si>
  <si>
    <t>№11421 от 24.08.2020</t>
  </si>
  <si>
    <t>Давальческий материал (август)</t>
  </si>
  <si>
    <t>ООО "СоюзДонСтрой"</t>
  </si>
  <si>
    <t xml:space="preserve">Д.ТД.ВЖВК.ДКС-19062020-0003 от 16.06.2020 </t>
  </si>
  <si>
    <t xml:space="preserve">№Д.ДВК.ВЖВК.ДКС.ОПР-15102019-0001 </t>
  </si>
  <si>
    <t>Акт №1 от 08.04.2020</t>
  </si>
  <si>
    <t>Акт №69 31.07.2020</t>
  </si>
  <si>
    <t>Акт №20063003 30.06.2020</t>
  </si>
  <si>
    <t>Давальческий материал (сентябрь)</t>
  </si>
  <si>
    <t>Общехозяйственные расходы (сентябрь)</t>
  </si>
  <si>
    <t>ПИР.СМР. Реконструкция узла механической очистки</t>
  </si>
  <si>
    <t xml:space="preserve">№12260 от 07.09.2020 </t>
  </si>
  <si>
    <t xml:space="preserve">№Д.ТД.ВЖВК.ДКС-10082020-0004 от 10.08.2020 </t>
  </si>
  <si>
    <t>Д.ТД.ВЖВК.ОУСС-27022020-0002 от 27.02.2020</t>
  </si>
  <si>
    <t xml:space="preserve">№12266 от 07.09.2020 </t>
  </si>
  <si>
    <t>Д.ТД.ВЖВК.ОУСС-19082020-0001 от 19.08.2020</t>
  </si>
  <si>
    <t>13529 от 30.09.2020</t>
  </si>
  <si>
    <t>Агентский договор №130/19 от 07.03.2019</t>
  </si>
  <si>
    <t>13425 от 28.09.2020</t>
  </si>
  <si>
    <t>№13429 от 28.09.2020</t>
  </si>
  <si>
    <t xml:space="preserve">№12189 от 04.09.2020 </t>
  </si>
  <si>
    <t xml:space="preserve">№12849 от 18.09.2020 </t>
  </si>
  <si>
    <t>Д.ТД.ВЖВК.ОУСС-26062020-0004 от 26.06.2020</t>
  </si>
  <si>
    <t>№12265 от 07.09.2020</t>
  </si>
  <si>
    <t>№12259 от 07.09.2020</t>
  </si>
  <si>
    <t xml:space="preserve">12261 от 07.09.2020 </t>
  </si>
  <si>
    <t xml:space="preserve">13531 от 30.09.2020 </t>
  </si>
  <si>
    <t>№Д.ТД.ВЖВК.ОУСС-07072020-0003 от 07.07.2020</t>
  </si>
  <si>
    <t>12264 от 07.09.2020</t>
  </si>
  <si>
    <t>№12267 от 07.09.2020</t>
  </si>
  <si>
    <t xml:space="preserve">№13538 от 30.09.2020 </t>
  </si>
  <si>
    <t xml:space="preserve">13536 от 30.09.2020 </t>
  </si>
  <si>
    <t xml:space="preserve">13535 от 30.09.2020 </t>
  </si>
  <si>
    <t>№12253 от 07.09.2020 (часть)</t>
  </si>
  <si>
    <t xml:space="preserve">№12257 от 07.09.2020 </t>
  </si>
  <si>
    <t xml:space="preserve">Д.ТД.ВЖВК.ОУСС-28022020-0001 от 28.02.2020г. </t>
  </si>
  <si>
    <t xml:space="preserve">№12096 от 02.09.2020 </t>
  </si>
  <si>
    <t xml:space="preserve">Д.ТД.ВЖВК.ОУСС-25022020-0002 от 25.02.2020г. </t>
  </si>
  <si>
    <t xml:space="preserve">12258 от 07.09.2020 </t>
  </si>
  <si>
    <t>ООО "ВоронежТехСтрой"</t>
  </si>
  <si>
    <t>Ариэль Металл</t>
  </si>
  <si>
    <t xml:space="preserve"> Д.ТД.ВЖВК.ДКС.ОКС-06072020-0003 от 06.07.2020, .ТД.ВЖВК.ДКС.ОКС-06072020-0003/ДС-0001   от 11.08.2020</t>
  </si>
  <si>
    <t>Общество с ограниченной ответственностью "Удмуртская промышленная компания"</t>
  </si>
  <si>
    <t>ООО «ПОЛИПЛАСТИК Поволжье»</t>
  </si>
  <si>
    <t>КС-2, КС-3 №1 от 29.07.2020</t>
  </si>
  <si>
    <t>КС-2, КС-3 №2 от 17.08.2020</t>
  </si>
  <si>
    <t>КС-2, КС-3 №1 от 30.07.2020</t>
  </si>
  <si>
    <t>КС-2, КС-3 №1 от 31.07.2020</t>
  </si>
  <si>
    <t>КС-2, КС-3 №4 от 31.08.2020</t>
  </si>
  <si>
    <t>КС-2, КС-3 №3 от 31.08.2020</t>
  </si>
  <si>
    <t>КС-2, КС-3 №1 от 31.08.2020</t>
  </si>
  <si>
    <t>КС-2, КС-3 №2 от 31.08.2020</t>
  </si>
  <si>
    <t>Акт №104 от 27.05.2020</t>
  </si>
  <si>
    <t>Акт №143 от 01.07.2020</t>
  </si>
  <si>
    <t>КС-2, КС-3 №4, №5 от 18.09.2020</t>
  </si>
  <si>
    <t>КС-2, КС-3 №3 от 25.09.2020</t>
  </si>
  <si>
    <t>КС-2, КС-3 №4 от 30.09.2020</t>
  </si>
  <si>
    <t>КС-2, КС-3 №5 от 30.09.2020</t>
  </si>
  <si>
    <t xml:space="preserve"> КС-2, КС-3 №6 от 30.09.2020 </t>
  </si>
  <si>
    <t>Акт №25 от 29.07.2020</t>
  </si>
  <si>
    <t>Акт №43 от 26 августа 2020</t>
  </si>
  <si>
    <t>ООО ЦЕНТР НЕЗАВИСИМОЙ
ОЦЕНКИ "ФРЕГАТ"</t>
  </si>
  <si>
    <t>013-П-20 от 14.09.2020</t>
  </si>
  <si>
    <t>Давальческий материал (октябрь)</t>
  </si>
  <si>
    <t>Давальческий материал  (август)</t>
  </si>
  <si>
    <t>ПАО "Квадра"</t>
  </si>
  <si>
    <t>Договор №Д.НТД.ВЖВК.ДКС-22092020-0003 от 16.07.2020</t>
  </si>
  <si>
    <t>5909 от 12.10.2020</t>
  </si>
  <si>
    <t>6556 от 31.10.2020</t>
  </si>
  <si>
    <t>7494 от 30.11.2020</t>
  </si>
  <si>
    <t>222 от 01.10.2020</t>
  </si>
  <si>
    <t>6198 от 01.10.2020</t>
  </si>
  <si>
    <t xml:space="preserve">Д.НД.ВЖВК.ДКС.ОПР-16072020-0002, дог. КА N3990789 от 02.07.2020 </t>
  </si>
  <si>
    <t>196 от 25.08.2020</t>
  </si>
  <si>
    <t>204 от 25.08.2020</t>
  </si>
  <si>
    <t>2 от 06.10.2020</t>
  </si>
  <si>
    <t>ЭНЕРГОИМПУЛЬС ООО</t>
  </si>
  <si>
    <t xml:space="preserve">Д.ДВК.ВЖВК.ДКС.ОПР-25062019-0003 от 25.06.2019 </t>
  </si>
  <si>
    <t>10 от 14.10.2020</t>
  </si>
  <si>
    <t xml:space="preserve"> 7; прил.1 и прил.2 к КС-2 №7 от 09.10.2020</t>
  </si>
  <si>
    <t>№8, прил.1 и прил. 2 к КС-2 №8 от 23.10.2020</t>
  </si>
  <si>
    <t>Д.ДВК.ВЖВК.ДКС.ОКС-18072019-0004 (18.07.2019)</t>
  </si>
  <si>
    <t>2 от 27.10.2020</t>
  </si>
  <si>
    <t>104 от 28.10.2020</t>
  </si>
  <si>
    <t>13 от 28.10.2020</t>
  </si>
  <si>
    <t xml:space="preserve"> 14 от 28.10.2020</t>
  </si>
  <si>
    <t>2 от 29.10.2020</t>
  </si>
  <si>
    <t>5 от 30.10.2020</t>
  </si>
  <si>
    <t xml:space="preserve"> 6 от 30.10.2020</t>
  </si>
  <si>
    <t>14351 от 19.10.2020</t>
  </si>
  <si>
    <t>14352 от 19.10.2020</t>
  </si>
  <si>
    <t>Д.ТД.ВЖВК.ОУСС-27022020-0001 от 27.02.2020г.</t>
  </si>
  <si>
    <t>14354 от 19.10.2020</t>
  </si>
  <si>
    <t>14359 от 19.10.2020</t>
  </si>
  <si>
    <t>14360 от 19.10.2020</t>
  </si>
  <si>
    <t>ООО "ЭнергоТрейд"</t>
  </si>
  <si>
    <t xml:space="preserve">Д.ТД.ВЖВК.ОУСС-17092020-0001 от 17.09.2020 </t>
  </si>
  <si>
    <t>14367 от 19.10.2020</t>
  </si>
  <si>
    <t>14368 от 19.10.2020</t>
  </si>
  <si>
    <t>КОНТИНЕНТ ООО</t>
  </si>
  <si>
    <t xml:space="preserve">Д.ТД.ВЖВК.ОУСС-19082020-0003 от 19.08.2020 </t>
  </si>
  <si>
    <t>14369 от 19.10.2020</t>
  </si>
  <si>
    <t>14890 от 30.10.2020</t>
  </si>
  <si>
    <t>14896 от 30.10.2020</t>
  </si>
  <si>
    <t>14914 от 30.10.2020</t>
  </si>
  <si>
    <t>14771 от 28.10.2020</t>
  </si>
  <si>
    <t>14772 от 28.10.2020</t>
  </si>
  <si>
    <t>14997 от 30.10.2020</t>
  </si>
  <si>
    <t>15001 от 30.10.2020</t>
  </si>
  <si>
    <t>Заработная плата (октябрь)</t>
  </si>
  <si>
    <t>Общехозяйственные расходы (октябрь)</t>
  </si>
  <si>
    <t>ТД РУСМЕТУРАЛ ООО</t>
  </si>
  <si>
    <t>СЕРВИСЭНЕРГОСТРОЙ ООО</t>
  </si>
  <si>
    <t>№Д.ТД.ВЖВК.ДКС-19102020-0001 от 19.10.2020</t>
  </si>
  <si>
    <t>№1, №2 от 02.11.2020</t>
  </si>
  <si>
    <t xml:space="preserve"> №1, №2 от 02.11.2020</t>
  </si>
  <si>
    <t>5 от 31.10.2020</t>
  </si>
  <si>
    <t>3 от 17.11.2020</t>
  </si>
  <si>
    <t>КС-2 №9, прил.1 к КС-2 №9 от 20.11.2020</t>
  </si>
  <si>
    <t xml:space="preserve"> 123 от 25.11.2020</t>
  </si>
  <si>
    <t xml:space="preserve">№Д.ТД.ВЖВК.ДКС-19062020-0002/ДС-0001 от 16.06.2020 </t>
  </si>
  <si>
    <t>5 от 26.11.2020</t>
  </si>
  <si>
    <t>6 от 26.11.2020</t>
  </si>
  <si>
    <t>7 от 27.11.2020</t>
  </si>
  <si>
    <t>№1, №2 от 27.11.2020</t>
  </si>
  <si>
    <t>8 от 30.11.2020</t>
  </si>
  <si>
    <t xml:space="preserve"> б/н от 30.11.2020</t>
  </si>
  <si>
    <t>№15011 от 02.11.2020</t>
  </si>
  <si>
    <t>Дорожно-строительное управление 157</t>
  </si>
  <si>
    <t>15204 от 09.11.2020</t>
  </si>
  <si>
    <t>15650 от 18.11.2020</t>
  </si>
  <si>
    <t>15652 от 18.11.2020</t>
  </si>
  <si>
    <t>Д.ТД.ВЖВК.ОУСС-17092020-0001 от 17.09.2020</t>
  </si>
  <si>
    <t>Д.ТД.ВЖВК.ОУСС-18092020-0002 от 18.09.2020</t>
  </si>
  <si>
    <t>15656 от 18.11.2020</t>
  </si>
  <si>
    <t>15661 от 18.11.2020</t>
  </si>
  <si>
    <t>Д.ТД.ВЖВК.ОУСС-25092020-0001 от 25.09.2020</t>
  </si>
  <si>
    <t>15662 от 18.11.2020</t>
  </si>
  <si>
    <t>15663 от 18.11.2020</t>
  </si>
  <si>
    <t>15664 от 18.11.2020</t>
  </si>
  <si>
    <t>15665 от 18.11.2020</t>
  </si>
  <si>
    <t>15675 от 18.11.2020</t>
  </si>
  <si>
    <t>15678 от 18.11.2020</t>
  </si>
  <si>
    <t>16366 от 23.11.2020</t>
  </si>
  <si>
    <t xml:space="preserve">16367 от 23.11.2020 </t>
  </si>
  <si>
    <t>№ 810-2020-9-Р от 27.10.2020 Договор факторинга С СоюзДонСтрой</t>
  </si>
  <si>
    <t>РЕАЛИСТ БАНК АО</t>
  </si>
  <si>
    <t>16400 от 24.11.2020</t>
  </si>
  <si>
    <t>16840 от 27.11.2020</t>
  </si>
  <si>
    <t>16841 от 27.11.2020</t>
  </si>
  <si>
    <t>16844 от 27.11.2020</t>
  </si>
  <si>
    <t>16845 от 27.11.2020</t>
  </si>
  <si>
    <t>16848 от 27.11.2020</t>
  </si>
  <si>
    <t>16849 от 27.11.2020</t>
  </si>
  <si>
    <t>16850 от 27.11.2020</t>
  </si>
  <si>
    <t>16851 от 27.11.2020</t>
  </si>
  <si>
    <t>16857 от 27.11.2020</t>
  </si>
  <si>
    <t>17283 от 30.11.2020</t>
  </si>
  <si>
    <t>Заработная плата (ноябрь)</t>
  </si>
  <si>
    <t>Общехозяйственные расходы (ноябрь)</t>
  </si>
  <si>
    <t>17497 от 04.12.2020</t>
  </si>
  <si>
    <t>17498 от 04.12.2020</t>
  </si>
  <si>
    <t>17502 от 04.12.2020</t>
  </si>
  <si>
    <t>17506 от 04.12.2020</t>
  </si>
  <si>
    <t>17508 от 04.12.2020</t>
  </si>
  <si>
    <t>17509 от 04.12.2020</t>
  </si>
  <si>
    <t>17511 от 04.12.2020</t>
  </si>
  <si>
    <t>17512 от 04.12.2020</t>
  </si>
  <si>
    <t>17605 от 07.12.2020</t>
  </si>
  <si>
    <t>17673 от 09.12.2020</t>
  </si>
  <si>
    <t>17685 от 09.12.2020</t>
  </si>
  <si>
    <t>18113 от 11.12.2020</t>
  </si>
  <si>
    <t>18116 от 11.12.2020</t>
  </si>
  <si>
    <t>18117 от 11.12.2020</t>
  </si>
  <si>
    <t>18118 от 11.12.2020</t>
  </si>
  <si>
    <t>18119 от 11.12.2020</t>
  </si>
  <si>
    <t>18120 от 11.12.2020</t>
  </si>
  <si>
    <t>18121 от 11.12.2020</t>
  </si>
  <si>
    <t>18125 от 11.12.2020</t>
  </si>
  <si>
    <t>18126 от 11.12.2020</t>
  </si>
  <si>
    <t>ООО "РДЭ"</t>
  </si>
  <si>
    <t>Д.ТД.ВЖВК.ДКС.ОКС-26102020-0001 от 26.10.2020</t>
  </si>
  <si>
    <t>18127 от 11.12.2020</t>
  </si>
  <si>
    <t>18227 от 14.12.2020</t>
  </si>
  <si>
    <t>Д.ТД.ВЖВК.ДКС-04122020-0004 от 04.12.2020</t>
  </si>
  <si>
    <t>18228 от 14.12.2020</t>
  </si>
  <si>
    <t>18231 от 14.12.2020</t>
  </si>
  <si>
    <t>18239 от 14.12.2020</t>
  </si>
  <si>
    <t>18255 от 14.12.2020</t>
  </si>
  <si>
    <t>18256 от 14.12.2020</t>
  </si>
  <si>
    <t>АО "Концерн "Созвездие"</t>
  </si>
  <si>
    <t xml:space="preserve">Д.ТД.ВЖВК.ДКС.ОКС-17092020-0004 от 17.09.2020 </t>
  </si>
  <si>
    <t>18450 от 16.12.2020</t>
  </si>
  <si>
    <t xml:space="preserve">632/18 от 07.08.2018 </t>
  </si>
  <si>
    <t>19544 от 30.12.2020</t>
  </si>
  <si>
    <t>АЛЬФАСТРОЙПРОЕКТ ООО</t>
  </si>
  <si>
    <t>Д.ТД.ВЖВК.ДКС.ОПР-26052020-0006 от 22.05.2020</t>
  </si>
  <si>
    <t>19562 от 30.12.2020</t>
  </si>
  <si>
    <t>Штрафы, пени, неустойки</t>
  </si>
  <si>
    <t>Претензия</t>
  </si>
  <si>
    <t>18114 от 11.12.2020</t>
  </si>
  <si>
    <t>94 от 02.10.2020</t>
  </si>
  <si>
    <t>Общехозяйственные расходы (декабрь)</t>
  </si>
  <si>
    <t>44 от 18.12.2020</t>
  </si>
  <si>
    <t>Давальческий материал (декабрь)</t>
  </si>
  <si>
    <t>1 от 04.12.2020</t>
  </si>
  <si>
    <t>262 от 23.11.2020</t>
  </si>
  <si>
    <t>ПИР, СМР. Изменение технологической схемы водоснабжения микрорайона Придонской (исключение из централизованной системы водоснабжения насосной станции на территории КПД-2, (ул. Латненская).</t>
  </si>
  <si>
    <t>ПРОЕКТКОНСАЛТИНГ ООО КСП</t>
  </si>
  <si>
    <t>Д.ТД.ВЖВК.ДКС.ОПР-21072020-0007 от 21.07.2020</t>
  </si>
  <si>
    <t>18 от 29.12.2020</t>
  </si>
  <si>
    <t>Д.ТД.ВЖВК.ДКС.ОПР-26052020-0003 от 26.05.2020</t>
  </si>
  <si>
    <t>52 от 30.12.2020</t>
  </si>
  <si>
    <t>53 от 30.12.2020</t>
  </si>
  <si>
    <t xml:space="preserve"> 54 от 30.12.2020</t>
  </si>
  <si>
    <t>Заработная плата (декабрь)</t>
  </si>
  <si>
    <t xml:space="preserve"> 1 от 21.12.2020</t>
  </si>
  <si>
    <t>Д.ТД.ВЖВК.ДКС-02122020-0002 от 02.12.2020</t>
  </si>
  <si>
    <t>2 от 21.12.2020</t>
  </si>
  <si>
    <t>ВГЭС ООО</t>
  </si>
  <si>
    <t>Д.ТД.ВЖВК.ДКС-18112020-0005 от 18.11.2020</t>
  </si>
  <si>
    <t>1 от 30.12.2020</t>
  </si>
  <si>
    <t xml:space="preserve"> 2 от 30.12.2020</t>
  </si>
  <si>
    <t>АО "НПК МЕДИАНА-ФИЛЬТР"</t>
  </si>
  <si>
    <t>Д.НД.ВЖВК.ТД.ОГТ-28102020-0002 от 28.10.2020</t>
  </si>
  <si>
    <t>1 от 28.05.2020</t>
  </si>
  <si>
    <t>1 от 16.12.2020</t>
  </si>
  <si>
    <t>2, 3 от 16.12.2020</t>
  </si>
  <si>
    <t>4 от 30.12.2020</t>
  </si>
  <si>
    <t>4 от 24.12.2020</t>
  </si>
  <si>
    <t>5 от 30.12.2020</t>
  </si>
  <si>
    <t>Гнб36строй</t>
  </si>
  <si>
    <t>Д.ТД.ВЖВК.ДКС.ОКС-21042020-0002 от 21.04.2020</t>
  </si>
  <si>
    <t>1 от 17.12.2020</t>
  </si>
  <si>
    <t>49 от 25.12.2020</t>
  </si>
  <si>
    <t>50 от 25.12.2020</t>
  </si>
  <si>
    <t>142 от 30.12.2020</t>
  </si>
  <si>
    <t>ООО "Эн Эйч Инжиниринг"</t>
  </si>
  <si>
    <t>Д.ТД.ВЖВК.ДКС.ОПР-28022020-0003 от 28.02.2020</t>
  </si>
  <si>
    <t>б/н от 21.12.2020</t>
  </si>
  <si>
    <t>б/н от 30.11.2020</t>
  </si>
  <si>
    <t>Д.ДВК.ВЖВК.ДКС.ОПР-03092019-0001, дог. КА№3575558 от 03092019</t>
  </si>
  <si>
    <t>253 от 23.11.2020</t>
  </si>
  <si>
    <t>9 от 09.12.2020</t>
  </si>
  <si>
    <t>10, прил.1 к КС-2 №10 от 21.12.2020</t>
  </si>
  <si>
    <t>10 от 21.12.2020</t>
  </si>
  <si>
    <t>11 от 21.12.2020</t>
  </si>
  <si>
    <t>15 от 23.12.2020</t>
  </si>
  <si>
    <t xml:space="preserve"> 6 от 29.12.2020</t>
  </si>
  <si>
    <t>№11, прил. 1 к КС-2 №11 от 30.12.2020</t>
  </si>
  <si>
    <t>7 от 30.12.2020</t>
  </si>
  <si>
    <t>12 от 30.12.2020</t>
  </si>
  <si>
    <t>12 от 31.12.2020</t>
  </si>
  <si>
    <t xml:space="preserve"> 13 от 31.12.2020</t>
  </si>
  <si>
    <t>№2, №3 от 31.12.2020</t>
  </si>
  <si>
    <t>1 от 31.12.2020</t>
  </si>
  <si>
    <t xml:space="preserve"> 2194 от 25.11.2020</t>
  </si>
  <si>
    <t>18563 от 18.12.2020</t>
  </si>
  <si>
    <t xml:space="preserve">№Д.ДВК.ВЖВК.ДКС.ОПР-15102019-0001 Д.ДВК.ВЖВК.ДКС.ОПР-15102019-0001/ДС-0001   (26.05.2020) </t>
  </si>
  <si>
    <t xml:space="preserve">Д.ТД.ВЖВК.ДКС.ОПР-25082020-0001 Д.ТД.ВЖВК.ДКС.ОПР-25082020-0001/ДС-0001   (30.11.2020) </t>
  </si>
  <si>
    <t xml:space="preserve">№Д.ДВК.ВЖВК.ОУСС-01112019-0003 Д.ДВК.ВЖВК.ОУСС-01112019-0003/ДС-0001   (11.06.2020) </t>
  </si>
  <si>
    <t>318,75,
 584,9916</t>
  </si>
  <si>
    <t xml:space="preserve">о ходе исполнения инвестиционных программ ООО "РВК-Воронеж" </t>
  </si>
  <si>
    <t>за 12 месяцев 2020 г.</t>
  </si>
  <si>
    <t xml:space="preserve">Инвестиционная программа ООО "РВК-Воронеж на 2019-2024гг. </t>
  </si>
  <si>
    <t xml:space="preserve">Инвестиционная программа ООО "РВК-Воронеж" на 2012-2018гг. </t>
  </si>
  <si>
    <t>КС-2, КС-3 №2 от 30.01.2020</t>
  </si>
  <si>
    <t>ФИНАНСИР</t>
  </si>
  <si>
    <t>НАЧИСЛ</t>
  </si>
  <si>
    <t>Заработная плата  ОТЧЕТ</t>
  </si>
  <si>
    <t>ОЭ ОТЧЕТ</t>
  </si>
  <si>
    <t>Заработная плата  ПОТОКИ</t>
  </si>
  <si>
    <t>ОЭ ПОТОКИ</t>
  </si>
  <si>
    <t>ОТКЛ</t>
  </si>
  <si>
    <t>КАП %% отчет</t>
  </si>
  <si>
    <t>КАП %% потоки</t>
  </si>
  <si>
    <t>общ суммы отчет</t>
  </si>
  <si>
    <t>общ суммы потоки</t>
  </si>
  <si>
    <t>ип 1</t>
  </si>
  <si>
    <t>ип 2</t>
  </si>
  <si>
    <t xml:space="preserve">2020 год </t>
  </si>
  <si>
    <t>Справочно</t>
  </si>
  <si>
    <t>Структура финансовых потоков по инвестиционной программе  2012-2024, тыс.руб.</t>
  </si>
  <si>
    <t>ип 12-24</t>
  </si>
  <si>
    <t>Показатель</t>
  </si>
  <si>
    <t>Начисление</t>
  </si>
  <si>
    <t>Финансирование</t>
  </si>
  <si>
    <t>Выполнение / Финансирование мероприятий ИП, с НДС</t>
  </si>
  <si>
    <t>Привлечение кредитов</t>
  </si>
  <si>
    <t>Погашение кредитов</t>
  </si>
  <si>
    <t xml:space="preserve">Субсидии на возмещение затрат на уплату процентов по кредитам </t>
  </si>
  <si>
    <t>Расходы на обслуживание кредитов с НДС, в т.ч.</t>
  </si>
  <si>
    <t xml:space="preserve">- банковская гарантия </t>
  </si>
  <si>
    <t>Налог на прибыль</t>
  </si>
  <si>
    <t>НДС итого (обязательство по уплате в бюджет (+) / к возмещению из бюджета (-)), в т. ч.</t>
  </si>
  <si>
    <t>Возмещение НДС с расходов по инвестиционным мероприятиям</t>
  </si>
  <si>
    <t>НДС к уплате (расчетный)</t>
  </si>
  <si>
    <t>Выручка в части инвест составляющей, собственных средств (амортизации) за вычетом резерва по дебиторской задолженности.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</si>
</sst>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"/>
    <numFmt numFmtId="165" formatCode="0.0000"/>
    <numFmt numFmtId="166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14"/>
      <name val="Arial"/>
      <family val="2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i/>
      <sz val="12"/>
      <color rgb="FF000000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theme="0"/>
      <name val="Arial"/>
      <family val="2"/>
      <charset val="204"/>
    </font>
    <font>
      <sz val="11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0" fontId="5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6" fillId="0" borderId="0"/>
    <xf numFmtId="0" fontId="13" fillId="0" borderId="0"/>
    <xf numFmtId="0" fontId="4" fillId="0" borderId="0"/>
    <xf numFmtId="0" fontId="16" fillId="0" borderId="0"/>
    <xf numFmtId="0" fontId="12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32">
    <xf numFmtId="0" fontId="0" fillId="0" borderId="0" xfId="0"/>
    <xf numFmtId="0" fontId="5" fillId="0" borderId="0" xfId="1"/>
    <xf numFmtId="0" fontId="7" fillId="0" borderId="0" xfId="1" applyFont="1"/>
    <xf numFmtId="164" fontId="14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2" fontId="14" fillId="0" borderId="1" xfId="2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4" fontId="14" fillId="0" borderId="1" xfId="2" applyNumberFormat="1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>
      <alignment vertical="center" wrapText="1"/>
    </xf>
    <xf numFmtId="0" fontId="19" fillId="2" borderId="0" xfId="0" applyFont="1" applyFill="1" applyAlignment="1">
      <alignment wrapText="1"/>
    </xf>
    <xf numFmtId="0" fontId="14" fillId="0" borderId="1" xfId="2" applyFont="1" applyFill="1" applyBorder="1" applyAlignment="1">
      <alignment horizontal="center" vertical="center"/>
    </xf>
    <xf numFmtId="0" fontId="5" fillId="0" borderId="0" xfId="1" applyFill="1"/>
    <xf numFmtId="0" fontId="8" fillId="0" borderId="0" xfId="2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4" fontId="15" fillId="0" borderId="1" xfId="2" applyNumberFormat="1" applyFont="1" applyFill="1" applyBorder="1" applyAlignment="1">
      <alignment horizontal="center" vertical="center" wrapText="1"/>
    </xf>
    <xf numFmtId="0" fontId="7" fillId="0" borderId="0" xfId="1" applyFont="1" applyFill="1"/>
    <xf numFmtId="0" fontId="5" fillId="0" borderId="0" xfId="1" applyFill="1" applyBorder="1"/>
    <xf numFmtId="0" fontId="17" fillId="0" borderId="0" xfId="2" applyFont="1" applyFill="1" applyBorder="1" applyAlignment="1">
      <alignment horizontal="left"/>
    </xf>
    <xf numFmtId="0" fontId="18" fillId="0" borderId="0" xfId="2" applyFont="1" applyFill="1" applyBorder="1"/>
    <xf numFmtId="0" fontId="17" fillId="0" borderId="0" xfId="2" applyFont="1" applyFill="1" applyAlignment="1">
      <alignment horizontal="left"/>
    </xf>
    <xf numFmtId="0" fontId="17" fillId="0" borderId="0" xfId="2" applyFont="1" applyFill="1"/>
    <xf numFmtId="0" fontId="18" fillId="0" borderId="0" xfId="2" applyFont="1" applyFill="1"/>
    <xf numFmtId="0" fontId="7" fillId="0" borderId="1" xfId="1" applyFont="1" applyFill="1" applyBorder="1"/>
    <xf numFmtId="0" fontId="22" fillId="0" borderId="1" xfId="0" applyFont="1" applyFill="1" applyBorder="1"/>
    <xf numFmtId="14" fontId="14" fillId="0" borderId="1" xfId="1" applyNumberFormat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22" fillId="0" borderId="0" xfId="0" applyFont="1" applyFill="1" applyBorder="1"/>
    <xf numFmtId="0" fontId="22" fillId="0" borderId="0" xfId="0" applyFont="1" applyFill="1"/>
    <xf numFmtId="2" fontId="22" fillId="0" borderId="0" xfId="0" applyNumberFormat="1" applyFont="1" applyFill="1"/>
    <xf numFmtId="164" fontId="22" fillId="0" borderId="0" xfId="0" applyNumberFormat="1" applyFont="1" applyFill="1"/>
    <xf numFmtId="166" fontId="22" fillId="0" borderId="0" xfId="0" applyNumberFormat="1" applyFont="1" applyFill="1"/>
    <xf numFmtId="4" fontId="22" fillId="0" borderId="0" xfId="0" applyNumberFormat="1" applyFont="1" applyFill="1"/>
    <xf numFmtId="165" fontId="22" fillId="0" borderId="0" xfId="0" applyNumberFormat="1" applyFont="1" applyFill="1"/>
    <xf numFmtId="0" fontId="23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right"/>
    </xf>
    <xf numFmtId="0" fontId="5" fillId="0" borderId="3" xfId="1" applyFill="1" applyBorder="1"/>
    <xf numFmtId="0" fontId="14" fillId="0" borderId="1" xfId="2" applyFont="1" applyFill="1" applyBorder="1" applyAlignment="1">
      <alignment vertical="center" wrapText="1"/>
    </xf>
    <xf numFmtId="0" fontId="14" fillId="0" borderId="4" xfId="3" applyNumberFormat="1" applyFont="1" applyFill="1" applyBorder="1" applyAlignment="1">
      <alignment horizontal="center" vertical="center" wrapText="1"/>
    </xf>
    <xf numFmtId="0" fontId="14" fillId="0" borderId="2" xfId="3" applyNumberFormat="1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2" fontId="14" fillId="0" borderId="4" xfId="3" applyNumberFormat="1" applyFont="1" applyFill="1" applyBorder="1" applyAlignment="1">
      <alignment horizontal="center" vertical="center" wrapText="1"/>
    </xf>
    <xf numFmtId="2" fontId="14" fillId="0" borderId="2" xfId="3" applyNumberFormat="1" applyFont="1" applyFill="1" applyBorder="1" applyAlignment="1">
      <alignment horizontal="center" vertical="center" wrapText="1"/>
    </xf>
    <xf numFmtId="2" fontId="14" fillId="0" borderId="2" xfId="1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/>
    </xf>
    <xf numFmtId="166" fontId="14" fillId="0" borderId="1" xfId="3" applyNumberFormat="1" applyFont="1" applyFill="1" applyBorder="1" applyAlignment="1">
      <alignment horizontal="center" vertical="center" wrapText="1"/>
    </xf>
    <xf numFmtId="2" fontId="14" fillId="0" borderId="4" xfId="2" applyNumberFormat="1" applyFont="1" applyFill="1" applyBorder="1" applyAlignment="1">
      <alignment horizontal="center" vertical="center" wrapText="1"/>
    </xf>
    <xf numFmtId="2" fontId="14" fillId="0" borderId="2" xfId="2" applyNumberFormat="1" applyFont="1" applyFill="1" applyBorder="1" applyAlignment="1">
      <alignment horizontal="center" vertical="center" wrapText="1"/>
    </xf>
    <xf numFmtId="2" fontId="14" fillId="0" borderId="1" xfId="3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wrapText="1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0" fontId="0" fillId="5" borderId="1" xfId="0" applyFill="1" applyBorder="1"/>
    <xf numFmtId="4" fontId="0" fillId="5" borderId="1" xfId="0" applyNumberFormat="1" applyFill="1" applyBorder="1"/>
    <xf numFmtId="0" fontId="0" fillId="6" borderId="1" xfId="0" applyFill="1" applyBorder="1"/>
    <xf numFmtId="4" fontId="0" fillId="6" borderId="1" xfId="0" applyNumberFormat="1" applyFill="1" applyBorder="1"/>
    <xf numFmtId="4" fontId="0" fillId="0" borderId="0" xfId="0" applyNumberFormat="1"/>
    <xf numFmtId="0" fontId="15" fillId="0" borderId="0" xfId="2" applyFont="1" applyFill="1" applyBorder="1" applyAlignment="1">
      <alignment horizontal="center" vertical="center" wrapText="1"/>
    </xf>
    <xf numFmtId="4" fontId="15" fillId="0" borderId="0" xfId="2" applyNumberFormat="1" applyFont="1" applyFill="1" applyBorder="1" applyAlignment="1">
      <alignment horizontal="center" vertical="center" wrapText="1"/>
    </xf>
    <xf numFmtId="4" fontId="14" fillId="0" borderId="0" xfId="2" applyNumberFormat="1" applyFont="1" applyFill="1" applyBorder="1" applyAlignment="1">
      <alignment horizontal="center" vertical="center" wrapText="1"/>
    </xf>
    <xf numFmtId="0" fontId="26" fillId="0" borderId="0" xfId="14" applyFont="1"/>
    <xf numFmtId="0" fontId="1" fillId="0" borderId="0" xfId="14"/>
    <xf numFmtId="0" fontId="27" fillId="0" borderId="0" xfId="14" applyFont="1"/>
    <xf numFmtId="0" fontId="8" fillId="0" borderId="0" xfId="14" applyFont="1" applyFill="1" applyBorder="1" applyAlignment="1">
      <alignment horizontal="left" vertical="center" wrapText="1"/>
    </xf>
    <xf numFmtId="4" fontId="8" fillId="0" borderId="0" xfId="14" applyNumberFormat="1" applyFont="1" applyFill="1" applyBorder="1" applyAlignment="1">
      <alignment horizontal="center" vertical="center" wrapText="1"/>
    </xf>
    <xf numFmtId="0" fontId="8" fillId="0" borderId="0" xfId="14" applyFont="1" applyFill="1" applyBorder="1" applyAlignment="1">
      <alignment horizontal="center" vertical="center" wrapText="1"/>
    </xf>
    <xf numFmtId="0" fontId="25" fillId="0" borderId="0" xfId="14" applyFont="1"/>
    <xf numFmtId="0" fontId="28" fillId="0" borderId="6" xfId="14" applyFont="1" applyFill="1" applyBorder="1" applyAlignment="1">
      <alignment horizontal="center" vertical="center"/>
    </xf>
    <xf numFmtId="0" fontId="28" fillId="0" borderId="1" xfId="14" applyFont="1" applyFill="1" applyBorder="1" applyAlignment="1">
      <alignment horizontal="center" vertical="center" wrapText="1"/>
    </xf>
    <xf numFmtId="0" fontId="29" fillId="0" borderId="6" xfId="14" applyFont="1" applyFill="1" applyBorder="1" applyAlignment="1">
      <alignment vertical="center" wrapText="1"/>
    </xf>
    <xf numFmtId="0" fontId="31" fillId="0" borderId="6" xfId="14" applyFont="1" applyFill="1" applyBorder="1" applyAlignment="1">
      <alignment vertical="center" wrapText="1"/>
    </xf>
    <xf numFmtId="4" fontId="33" fillId="0" borderId="0" xfId="2" applyNumberFormat="1" applyFont="1" applyFill="1" applyBorder="1" applyAlignment="1">
      <alignment horizontal="center" vertical="center" wrapText="1"/>
    </xf>
    <xf numFmtId="4" fontId="34" fillId="0" borderId="0" xfId="2" applyNumberFormat="1" applyFont="1" applyFill="1" applyBorder="1" applyAlignment="1">
      <alignment horizontal="center" vertical="center" wrapText="1"/>
    </xf>
    <xf numFmtId="0" fontId="25" fillId="0" borderId="0" xfId="1" applyFont="1" applyFill="1"/>
    <xf numFmtId="3" fontId="30" fillId="0" borderId="1" xfId="14" applyNumberFormat="1" applyFont="1" applyFill="1" applyBorder="1" applyAlignment="1">
      <alignment horizontal="right" vertical="center" wrapText="1"/>
    </xf>
    <xf numFmtId="3" fontId="32" fillId="0" borderId="1" xfId="14" applyNumberFormat="1" applyFont="1" applyFill="1" applyBorder="1" applyAlignment="1">
      <alignment horizontal="right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>
      <alignment horizontal="center" vertical="center" wrapText="1"/>
    </xf>
    <xf numFmtId="0" fontId="14" fillId="0" borderId="6" xfId="3" applyNumberFormat="1" applyFont="1" applyFill="1" applyBorder="1" applyAlignment="1">
      <alignment horizontal="center" vertical="center" wrapText="1"/>
    </xf>
    <xf numFmtId="0" fontId="14" fillId="0" borderId="7" xfId="3" applyNumberFormat="1" applyFont="1" applyFill="1" applyBorder="1" applyAlignment="1">
      <alignment horizontal="center" vertical="center" wrapText="1"/>
    </xf>
    <xf numFmtId="0" fontId="14" fillId="0" borderId="8" xfId="3" applyNumberFormat="1" applyFont="1" applyFill="1" applyBorder="1" applyAlignment="1">
      <alignment horizontal="center" vertical="center" wrapText="1"/>
    </xf>
    <xf numFmtId="0" fontId="14" fillId="0" borderId="4" xfId="3" applyNumberFormat="1" applyFont="1" applyFill="1" applyBorder="1" applyAlignment="1">
      <alignment horizontal="center" vertical="center" wrapText="1"/>
    </xf>
    <xf numFmtId="0" fontId="14" fillId="0" borderId="2" xfId="3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wrapText="1"/>
    </xf>
    <xf numFmtId="0" fontId="8" fillId="0" borderId="1" xfId="2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wrapText="1"/>
    </xf>
    <xf numFmtId="0" fontId="14" fillId="0" borderId="5" xfId="3" applyNumberFormat="1" applyFont="1" applyFill="1" applyBorder="1" applyAlignment="1">
      <alignment horizontal="center" vertical="center" wrapText="1"/>
    </xf>
    <xf numFmtId="166" fontId="14" fillId="0" borderId="4" xfId="3" applyNumberFormat="1" applyFont="1" applyFill="1" applyBorder="1" applyAlignment="1">
      <alignment horizontal="center" vertical="center" wrapText="1"/>
    </xf>
    <xf numFmtId="166" fontId="14" fillId="0" borderId="5" xfId="3" applyNumberFormat="1" applyFont="1" applyFill="1" applyBorder="1" applyAlignment="1">
      <alignment horizontal="center" vertical="center" wrapText="1"/>
    </xf>
    <xf numFmtId="166" fontId="14" fillId="0" borderId="2" xfId="3" applyNumberFormat="1" applyFont="1" applyFill="1" applyBorder="1" applyAlignment="1">
      <alignment horizontal="center" vertical="center" wrapText="1"/>
    </xf>
    <xf numFmtId="2" fontId="14" fillId="0" borderId="4" xfId="3" applyNumberFormat="1" applyFont="1" applyFill="1" applyBorder="1" applyAlignment="1">
      <alignment horizontal="center" vertical="center" wrapText="1"/>
    </xf>
    <xf numFmtId="2" fontId="14" fillId="0" borderId="5" xfId="3" applyNumberFormat="1" applyFont="1" applyFill="1" applyBorder="1" applyAlignment="1">
      <alignment horizontal="center" vertical="center" wrapText="1"/>
    </xf>
    <xf numFmtId="2" fontId="14" fillId="0" borderId="2" xfId="3" applyNumberFormat="1" applyFont="1" applyFill="1" applyBorder="1" applyAlignment="1">
      <alignment horizontal="center" vertical="center" wrapText="1"/>
    </xf>
    <xf numFmtId="0" fontId="14" fillId="0" borderId="6" xfId="3" applyNumberFormat="1" applyFont="1" applyFill="1" applyBorder="1" applyAlignment="1">
      <alignment horizontal="left" vertical="center" wrapText="1"/>
    </xf>
    <xf numFmtId="0" fontId="14" fillId="0" borderId="8" xfId="3" applyNumberFormat="1" applyFont="1" applyFill="1" applyBorder="1" applyAlignment="1">
      <alignment horizontal="left" vertical="center" wrapText="1"/>
    </xf>
    <xf numFmtId="2" fontId="14" fillId="0" borderId="1" xfId="3" applyNumberFormat="1" applyFont="1" applyFill="1" applyBorder="1" applyAlignment="1">
      <alignment horizontal="center" vertical="center" wrapText="1"/>
    </xf>
    <xf numFmtId="2" fontId="14" fillId="0" borderId="4" xfId="1" applyNumberFormat="1" applyFont="1" applyFill="1" applyBorder="1" applyAlignment="1">
      <alignment horizontal="center" vertical="center"/>
    </xf>
    <xf numFmtId="2" fontId="14" fillId="0" borderId="5" xfId="1" applyNumberFormat="1" applyFont="1" applyFill="1" applyBorder="1" applyAlignment="1">
      <alignment horizontal="center" vertical="center"/>
    </xf>
    <xf numFmtId="2" fontId="14" fillId="0" borderId="2" xfId="1" applyNumberFormat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5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2" fontId="14" fillId="0" borderId="10" xfId="3" applyNumberFormat="1" applyFont="1" applyFill="1" applyBorder="1" applyAlignment="1">
      <alignment horizontal="center" vertical="center" wrapText="1"/>
    </xf>
    <xf numFmtId="2" fontId="14" fillId="0" borderId="11" xfId="3" applyNumberFormat="1" applyFont="1" applyFill="1" applyBorder="1" applyAlignment="1">
      <alignment horizontal="center" vertical="center" wrapText="1"/>
    </xf>
    <xf numFmtId="2" fontId="14" fillId="0" borderId="9" xfId="3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/>
    </xf>
    <xf numFmtId="4" fontId="14" fillId="0" borderId="4" xfId="2" applyNumberFormat="1" applyFont="1" applyFill="1" applyBorder="1" applyAlignment="1">
      <alignment horizontal="center" vertical="center" wrapText="1"/>
    </xf>
    <xf numFmtId="4" fontId="14" fillId="0" borderId="5" xfId="2" applyNumberFormat="1" applyFont="1" applyFill="1" applyBorder="1" applyAlignment="1">
      <alignment horizontal="center" vertical="center" wrapText="1"/>
    </xf>
    <xf numFmtId="4" fontId="14" fillId="0" borderId="2" xfId="2" applyNumberFormat="1" applyFont="1" applyFill="1" applyBorder="1" applyAlignment="1">
      <alignment horizontal="center" vertical="center" wrapText="1"/>
    </xf>
    <xf numFmtId="2" fontId="14" fillId="0" borderId="4" xfId="2" applyNumberFormat="1" applyFont="1" applyFill="1" applyBorder="1" applyAlignment="1">
      <alignment horizontal="center" vertical="center" wrapText="1"/>
    </xf>
    <xf numFmtId="2" fontId="14" fillId="0" borderId="5" xfId="2" applyNumberFormat="1" applyFont="1" applyFill="1" applyBorder="1" applyAlignment="1">
      <alignment horizontal="center" vertical="center" wrapText="1"/>
    </xf>
    <xf numFmtId="2" fontId="14" fillId="0" borderId="2" xfId="2" applyNumberFormat="1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</cellXfs>
  <cellStyles count="15">
    <cellStyle name="Обычный" xfId="0" builtinId="0"/>
    <cellStyle name="Обычный 100 2" xfId="10"/>
    <cellStyle name="Обычный 2" xfId="1"/>
    <cellStyle name="Обычный 2 10" xfId="4"/>
    <cellStyle name="Обычный 2 2" xfId="2"/>
    <cellStyle name="Обычный 2 6 3" xfId="9"/>
    <cellStyle name="Обычный 29" xfId="5"/>
    <cellStyle name="Обычный 3" xfId="6"/>
    <cellStyle name="Обычный 4" xfId="7"/>
    <cellStyle name="Обычный 5" xfId="8"/>
    <cellStyle name="Обычный 6" xfId="11"/>
    <cellStyle name="Обычный 65" xfId="14"/>
    <cellStyle name="Обычный 7" xfId="13"/>
    <cellStyle name="Обычный_Бизнес-план 2005 г. (РВК)1 экспериментальн 2 со 2 квартала_1" xfId="3"/>
    <cellStyle name="Финансовый 2" xfId="12"/>
  </cellStyles>
  <dxfs count="0"/>
  <tableStyles count="0" defaultTableStyle="TableStyleMedium2" defaultPivotStyle="PivotStyleMedium9"/>
  <colors>
    <mruColors>
      <color rgb="FFFFFF99"/>
      <color rgb="FFF89F68"/>
      <color rgb="FFF79153"/>
      <color rgb="FF4BD0FF"/>
      <color rgb="FFFFC1C1"/>
      <color rgb="FFFF4F4F"/>
      <color rgb="FFFF7979"/>
      <color rgb="FFFFAFAF"/>
      <color rgb="FFFF5353"/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2/2020/&#1060;&#1072;&#1082;&#1090;%202020/12_&#1044;&#1077;&#1082;&#1072;&#1073;&#1088;&#1100;/&#1048;&#1055;/&#1058;&#1044;-8%202020%20&#1087;&#1088;&#1086;&#1075;&#1085;&#1086;&#1079;%20&#1076;&#1077;&#1082;&#1072;&#1073;&#1088;&#1100;%20&#1087;&#1086;&#1089;&#1083;&#1077;&#1076;.%20&#1079;&#1072;&#1084;&#1077;&#1085;&#1072;%20&#1092;&#1080;&#1085;&#1072;&#1085;&#1089;&#1080;&#1088;&#1086;&#1074;&#1072;&#1085;&#1080;&#1103;%2022.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2/2020/&#1060;&#1072;&#1082;&#1090;%202020/12_&#1044;&#1077;&#1082;&#1072;&#1073;&#1088;&#1100;/&#1048;&#1055;/&#1055;&#1086;&#1090;&#1086;&#1082;&#1080;%20&#1048;&#1055;%202%20%2012_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П 2012-2018"/>
      <sheetName val="ИП 2019-2024"/>
      <sheetName val="ИПЗП"/>
      <sheetName val="Лист1"/>
    </sheetNames>
    <sheetDataSet>
      <sheetData sheetId="0">
        <row r="550">
          <cell r="Q550">
            <v>16348.754279999999</v>
          </cell>
        </row>
        <row r="553">
          <cell r="Q553">
            <v>0</v>
          </cell>
        </row>
      </sheetData>
      <sheetData sheetId="1">
        <row r="300">
          <cell r="Q300">
            <v>36775.844927975711</v>
          </cell>
        </row>
        <row r="303">
          <cell r="Q303">
            <v>40694.505231134768</v>
          </cell>
        </row>
        <row r="562">
          <cell r="Q562">
            <v>278109.54739375378</v>
          </cell>
        </row>
        <row r="565">
          <cell r="Q565">
            <v>328193.08600554196</v>
          </cell>
        </row>
        <row r="570">
          <cell r="Q570">
            <v>314885.39232172951</v>
          </cell>
        </row>
        <row r="573">
          <cell r="Q573">
            <v>368887.59123667679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оки ИП"/>
      <sheetName val="отч Админ. гл в отчет"/>
      <sheetName val="форма отч 1"/>
      <sheetName val="синдик авг сб (2)"/>
      <sheetName val="синдик авг сб"/>
      <sheetName val="синдикат сб"/>
      <sheetName val="ВИВ"/>
      <sheetName val="ВС"/>
      <sheetName val="ВОП"/>
      <sheetName val="ВОЛ"/>
      <sheetName val="х (2)"/>
      <sheetName val="ИП 2019-2024"/>
      <sheetName val="БГ СБ"/>
      <sheetName val="синдикат"/>
      <sheetName val="синдик сент"/>
      <sheetName val="БГ"/>
      <sheetName val="Лист3"/>
      <sheetName val="Лист1"/>
      <sheetName val="кредиты"/>
      <sheetName val="отч Адм. комисс по уу- не брать"/>
      <sheetName val="отч Админ. гл не брать"/>
    </sheetNames>
    <sheetDataSet>
      <sheetData sheetId="0"/>
      <sheetData sheetId="1">
        <row r="8">
          <cell r="G8">
            <v>368887.59124220605</v>
          </cell>
          <cell r="H8">
            <v>331233.98661568854</v>
          </cell>
        </row>
        <row r="9">
          <cell r="G9">
            <v>232442.41379200004</v>
          </cell>
          <cell r="H9">
            <v>232442.41379200004</v>
          </cell>
        </row>
        <row r="10">
          <cell r="G10">
            <v>205794.09769999998</v>
          </cell>
          <cell r="H10">
            <v>205794.09769999998</v>
          </cell>
        </row>
        <row r="11">
          <cell r="G11">
            <v>0</v>
          </cell>
          <cell r="H11">
            <v>0</v>
          </cell>
        </row>
        <row r="12">
          <cell r="G12">
            <v>147793.19649809616</v>
          </cell>
          <cell r="H12">
            <v>148651.31030463317</v>
          </cell>
        </row>
        <row r="13">
          <cell r="G13">
            <v>8583.1722699999991</v>
          </cell>
          <cell r="H13">
            <v>7973.7409599999992</v>
          </cell>
        </row>
        <row r="14">
          <cell r="G14">
            <v>516757.459007247</v>
          </cell>
          <cell r="H14">
            <v>516757.459007247</v>
          </cell>
        </row>
        <row r="15">
          <cell r="G15">
            <v>0</v>
          </cell>
          <cell r="H15">
            <v>0</v>
          </cell>
        </row>
        <row r="16">
          <cell r="G16">
            <v>45210.878952771418</v>
          </cell>
          <cell r="H16">
            <v>68180.478280025563</v>
          </cell>
        </row>
        <row r="17">
          <cell r="G17">
            <v>-43763.771873701015</v>
          </cell>
          <cell r="H17">
            <v>-20794.172546446862</v>
          </cell>
        </row>
        <row r="18">
          <cell r="G18">
            <v>88974.650826472425</v>
          </cell>
          <cell r="H18">
            <v>88974.650826472425</v>
          </cell>
        </row>
      </sheetData>
      <sheetData sheetId="2"/>
      <sheetData sheetId="3"/>
      <sheetData sheetId="4"/>
      <sheetData sheetId="5"/>
      <sheetData sheetId="6">
        <row r="11">
          <cell r="CB11">
            <v>26915.915496206326</v>
          </cell>
        </row>
        <row r="13">
          <cell r="CB13">
            <v>16121.905099999998</v>
          </cell>
        </row>
        <row r="18">
          <cell r="CB18">
            <v>2163.0075200000001</v>
          </cell>
        </row>
        <row r="50">
          <cell r="CB50">
            <v>26915.898716206324</v>
          </cell>
        </row>
        <row r="52">
          <cell r="CB52">
            <v>16622.65435548222</v>
          </cell>
        </row>
        <row r="57">
          <cell r="CB57">
            <v>2163.0075200000001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5"/>
  <sheetViews>
    <sheetView tabSelected="1" view="pageBreakPreview" zoomScale="70" zoomScaleNormal="70" zoomScaleSheetLayoutView="70" workbookViewId="0">
      <pane ySplit="9" topLeftCell="A671" activePane="bottomLeft" state="frozen"/>
      <selection pane="bottomLeft" activeCell="M683" sqref="M683"/>
    </sheetView>
  </sheetViews>
  <sheetFormatPr defaultRowHeight="15" x14ac:dyDescent="0.25"/>
  <cols>
    <col min="1" max="1" width="55.7109375" style="30" customWidth="1"/>
    <col min="2" max="3" width="21.5703125" style="30" customWidth="1"/>
    <col min="4" max="4" width="16.7109375" style="30" customWidth="1"/>
    <col min="5" max="5" width="17.140625" style="30" customWidth="1"/>
    <col min="6" max="6" width="12.5703125" style="30" customWidth="1"/>
    <col min="7" max="7" width="13.42578125" style="30" customWidth="1"/>
    <col min="8" max="8" width="16.42578125" style="30" customWidth="1"/>
    <col min="9" max="9" width="13" style="30" customWidth="1"/>
    <col min="10" max="10" width="12.85546875" style="30" customWidth="1"/>
    <col min="11" max="11" width="18.140625" customWidth="1"/>
    <col min="12" max="12" width="12.140625" customWidth="1"/>
    <col min="17" max="17" width="14.42578125" customWidth="1"/>
    <col min="20" max="20" width="13.85546875" customWidth="1"/>
    <col min="21" max="21" width="19.7109375" customWidth="1"/>
    <col min="22" max="22" width="11" customWidth="1"/>
    <col min="23" max="23" width="13.28515625" customWidth="1"/>
    <col min="25" max="25" width="13.85546875" customWidth="1"/>
    <col min="26" max="26" width="13" customWidth="1"/>
    <col min="27" max="27" width="14.42578125" customWidth="1"/>
  </cols>
  <sheetData>
    <row r="1" spans="1:27" x14ac:dyDescent="0.25">
      <c r="N1" s="58"/>
      <c r="O1" s="58"/>
      <c r="P1" s="58"/>
      <c r="Q1" s="59" t="s">
        <v>517</v>
      </c>
      <c r="R1" s="59" t="s">
        <v>518</v>
      </c>
      <c r="T1" s="60" t="s">
        <v>517</v>
      </c>
      <c r="U1" s="60" t="s">
        <v>518</v>
      </c>
      <c r="W1" s="63" t="s">
        <v>517</v>
      </c>
      <c r="X1" s="63" t="s">
        <v>518</v>
      </c>
      <c r="Z1" s="65" t="s">
        <v>517</v>
      </c>
      <c r="AA1" s="65" t="s">
        <v>518</v>
      </c>
    </row>
    <row r="2" spans="1:27" ht="25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N2" s="89" t="s">
        <v>519</v>
      </c>
      <c r="O2" s="89"/>
      <c r="P2" s="89"/>
      <c r="Q2" s="61">
        <f>E10+E11+E12+E13+E14+E15+E20+E21+E22+E23+E24+E25+E42+E43+E44+E50+E51+E52+E53+E54+E71+E72+E73+E74+E90+E91+E92+E93+E94+E95+E103+E104+E105+E106+E107+E108+E109+E110+E111+E112+E113+E118+E119+E120+E121+E122+E123+E124+E125+E126+E131+E132+E133+E134+E135+E136+E137+E138+E143+E144+E145+E146+E147+E148+E149+E150+E155+E156+E157+E158+E159+E160+E161+E162+E163+E168+E169+E170+E171+E172+E173+E174+E175+E180+E181+E182+E183+E184+E185+E186+E187+E202+E203+E204+E205+E212+E213+E214+E215+E216+E221+E222+E223+E224+E235+E245+E246+E247+E248+E249+E250+E251+E252+E253+E254+E255+E256+E269+E274+E275+E276+E277+E278+E279+E281+E282+E283+E284+E285+E286+E295+E296+E297+E298+E299+E300+E301+E302+E303+E304+E305+E310+E311+E312+E313+E314+E315+E316+E317+E318+E319+E320+E321+E328+E329+E330+E331+E336+E337+E338+E339+E340+E341+E342+E343+E344+E345+E346+E347+E368+E369+E370+E371+E372+E373+E374+E375+E376+E377+E378+E379+E398+E399+E400+E401+E402+E403+E404+E405+E406+E407+E408+E437+E438+E439+E440+E441+E442+E444+E445+E455+E456+E457+E458+E459+E460+E461+E462+E463+E464+E468+E473+E474+E475+E476+E477+E478+E479+E480+E481+E482+E483+E493+E494+E495+E496+E497+E498+E499+E500+E501+E502+E503+E504+E519+E520+E521+E522+E523+E524+E525+E526+E527+E528+E529+E530+E620+E621+E622+E623+E624+E625+E626+E627+E628+E629+E630+E637+E638+E639+E640+E641+E642+E643+E644+E645+E646+E647+E648+E443</f>
        <v>16622.654130891176</v>
      </c>
      <c r="R2" s="61">
        <f>H10+H11+H12+H13+H14+H15+H20+H21+H22+H23+H24+H25+H42+H43+H44+H50+H51+H52+H53+H54+H71+H72+H73+H74+H90+H91+H92+H93+H94+H95+H103+H104+H105+H106+H107+H108+H109+H110+H111+H112+H113+H118+H119+H120+H121+H122+H123+H124+H125+H126+H131+H132+H133+H134+H135+H136+H137+H138+H143+H144+H145+H146+H147+H148+H149+H150+H155+H156+H157+H158+H159+H160+H161+H162+H163+H168+H169+H170+H171+H172+H173+H174+H175+H180+H181+H182+H183+H184+H185+H186+H187+H202+H203+H204+H205+H212+H213+H214+H215+H216+H221+H222+H223+H224+H235+H245+H246+H247+H248+H249+H250+H251+H252+H253+H254+H255+H256+H269+H274+H275+H276+H277+H278+H279+H281+H282+H283+H284+H285+H286+H295+H296+H297+H298+H299+H300+H301+H302+H303+H304+H305+H310+H311+H312+H313+H314+H315+H316+H317+H318+H319+H320+H321+H328+H329+H330+H331+H336+H337+H338+H339+H340+H341+H342+H343+H344+H345+H346+H347+H368+H369+H370+H371+H372+H373+H374+H375+H376+H377+H378+H379+H398+H399+H400+H401+H402+H403+H404+H405+H406+H407+H408+H437+H438+H439+H440+H441+H442+H443+H444+H445+H455+H456+H457+H458+H459+H460+H461+H462+H463+H464+H468+H473+H474+H475+H476+H477+H478+H479+H480+H481+H482+H483+H493+H494+H495+H496+H497+H498+H499+H500+H501+H502+H503+H504+H519+H520+H521+H522+H523+H524+H525+H526+H527+H528+H529+H530+H620+H621+H622+H623+H624+H625+H626+H627+H628+H629+H630+H637+H638+H639+H640+H641+H642+H643+H644+H645+H646+H647+H648</f>
        <v>16121.9051</v>
      </c>
      <c r="S2" s="58" t="s">
        <v>520</v>
      </c>
      <c r="T2" s="62">
        <f>E16+E17+E18+E19+E26+E27+E28+E29+E32+E33+E34+E35+E45+E46+E47+E48+E55+E56+E57+E58+E75+E76+E77+E78+E85+E86+E87+E88+E96+E97+E98+E99+E114+E115+E116+E117+E127+E128+E129+E130+E139+E140+E141+E142+E151+E152+E153+E154+E164+E165+E166+E167+E176+E177+E178+E179+E188+E189+E190+E191+E206+E207+E208+E217+E218+E219+E220+E225+E226+E227+E228+E236+E237+E243+E244+E257+E258+E259+E260+E270+E271+E272+E273+E287+E288+E289+E290+E306+E307+E308+E309+E324+E325+E326+E327+E332+E333+E334+E335+E348+E349+E350+E351+E380+E381+E382+E383+E409+E410+E411+E412+E451+E452+E453+E454+E469+E470+E471+E472+E488+E489+E490+E491+E505+E506+E507+E508+E531+E532+E533+E534+E631+E632+E633+E634+E649+E650+E651+E652</f>
        <v>26915.898717406315</v>
      </c>
      <c r="U2" s="62">
        <f>H16+H17+H18+H19+H26+H27+H28+H29+H32+H33+H34+H35+H45+H46+H47+H48+H55+H56+H57+H58+H75+H76+H77+H78+H85+H86+H87+H88+H96+H97+H98+H99+H114+H115+H116+H117+H127+H128+H129+H130+H139+H140+H141+H142+H151+H152+H153+H154+H164+H165+H166+H167+H176+H177+H178+H179+H188+H189+H190+H191+H206+H207+H208+H217+H218+H219+H220+H225+H226+H227+H228+H236+H237+H243+H244+H257+H258+H259+H260+H270+H271+H272+H273+H287+H288+H289+H290+H306+H307+H308+H309+H324+H325+H326+H327+H332+H333+H334+H335+H348+H349+H350+H351+H380+H381+H382+H383+H409+H410+H411+H412+H451+H452+H453+H454+H469+H470+H471+H472+H488+H489+H490+H491+H505+H506+H507+H508+H531+H532+H533+H534+H631+H632+H633+H634+H649+H650+H651+H652</f>
        <v>26915.766714676756</v>
      </c>
      <c r="V2" s="58" t="s">
        <v>524</v>
      </c>
      <c r="W2" s="64">
        <f>E431+E432+E433+E434+E435</f>
        <v>2163.0075200000001</v>
      </c>
      <c r="X2" s="64">
        <f>H431+H432+H433+H434+H435</f>
        <v>2163.0075200000001</v>
      </c>
      <c r="Y2" s="58" t="s">
        <v>526</v>
      </c>
      <c r="Z2" s="66">
        <f>'[1]ИП 2012-2018'!$Q$550+'[1]ИП 2019-2024'!$Q$570</f>
        <v>331234.1466017295</v>
      </c>
      <c r="AA2" s="66">
        <f>'[1]ИП 2012-2018'!$Q$553+'[1]ИП 2019-2024'!$Q$573</f>
        <v>368887.59123667679</v>
      </c>
    </row>
    <row r="3" spans="1:27" ht="32.25" customHeight="1" x14ac:dyDescent="0.25">
      <c r="A3" s="113" t="s">
        <v>512</v>
      </c>
      <c r="B3" s="113"/>
      <c r="C3" s="113"/>
      <c r="D3" s="113"/>
      <c r="E3" s="113"/>
      <c r="F3" s="113"/>
      <c r="G3" s="113"/>
      <c r="H3" s="113"/>
      <c r="I3" s="113"/>
      <c r="J3" s="113"/>
      <c r="N3" s="89" t="s">
        <v>521</v>
      </c>
      <c r="O3" s="89"/>
      <c r="P3" s="89"/>
      <c r="Q3" s="61">
        <f>[2]ВИВ!$CB$52</f>
        <v>16622.65435548222</v>
      </c>
      <c r="R3" s="61">
        <f>[2]ВИВ!$CB$13</f>
        <v>16121.905099999998</v>
      </c>
      <c r="S3" s="58" t="s">
        <v>522</v>
      </c>
      <c r="T3" s="62">
        <f>[2]ВИВ!$CB$50</f>
        <v>26915.898716206324</v>
      </c>
      <c r="U3" s="62">
        <f>[2]ВИВ!$CB$11</f>
        <v>26915.915496206326</v>
      </c>
      <c r="V3" s="58" t="s">
        <v>525</v>
      </c>
      <c r="W3" s="64">
        <f>[2]ВИВ!$CB$57</f>
        <v>2163.0075200000001</v>
      </c>
      <c r="X3" s="64">
        <f>[2]ВИВ!$CB$18</f>
        <v>2163.0075200000001</v>
      </c>
      <c r="Y3" s="58" t="s">
        <v>527</v>
      </c>
      <c r="Z3" s="66">
        <f>E654+E669</f>
        <v>331234.14660029754</v>
      </c>
      <c r="AA3" s="66">
        <f>H654+H669</f>
        <v>368887.59117867687</v>
      </c>
    </row>
    <row r="4" spans="1:27" ht="18" x14ac:dyDescent="0.25">
      <c r="A4" s="114" t="s">
        <v>513</v>
      </c>
      <c r="B4" s="114"/>
      <c r="C4" s="114"/>
      <c r="D4" s="114"/>
      <c r="E4" s="114"/>
      <c r="F4" s="114"/>
      <c r="G4" s="114"/>
      <c r="H4" s="114"/>
      <c r="I4" s="114"/>
      <c r="J4" s="114"/>
      <c r="N4" s="89" t="s">
        <v>523</v>
      </c>
      <c r="O4" s="89"/>
      <c r="P4" s="89"/>
      <c r="Q4" s="61">
        <f>Q2-Q3</f>
        <v>-2.2459104366134852E-4</v>
      </c>
      <c r="R4" s="61">
        <f>R2-R3</f>
        <v>0</v>
      </c>
      <c r="S4" s="58"/>
      <c r="T4" s="62">
        <f>T2-T3</f>
        <v>1.1999909474980086E-6</v>
      </c>
      <c r="U4" s="62">
        <f>U2-U3</f>
        <v>-0.14878152956953272</v>
      </c>
      <c r="V4" s="58"/>
      <c r="W4" s="64">
        <f t="shared" ref="W4:X4" si="0">W2-W3</f>
        <v>0</v>
      </c>
      <c r="X4" s="64">
        <f t="shared" si="0"/>
        <v>0</v>
      </c>
      <c r="Y4" s="58"/>
      <c r="Z4" s="66">
        <f t="shared" ref="Z4" si="1">Z2-Z3</f>
        <v>1.4319666661322117E-6</v>
      </c>
      <c r="AA4" s="66">
        <f t="shared" ref="AA4" si="2">AA2-AA3</f>
        <v>5.7999917771667242E-5</v>
      </c>
    </row>
    <row r="5" spans="1:27" s="1" customFormat="1" ht="18" x14ac:dyDescent="0.25">
      <c r="A5" s="96" t="s">
        <v>514</v>
      </c>
      <c r="B5" s="96"/>
      <c r="C5" s="96"/>
      <c r="D5" s="96"/>
      <c r="E5" s="96"/>
      <c r="F5" s="96"/>
      <c r="G5" s="96"/>
      <c r="H5" s="96"/>
      <c r="I5" s="96"/>
      <c r="J5" s="96"/>
      <c r="Y5" s="1" t="s">
        <v>528</v>
      </c>
      <c r="Z5" s="67">
        <f>'[1]ИП 2012-2018'!$Q$550</f>
        <v>16348.754279999999</v>
      </c>
      <c r="AA5" s="1">
        <f>'[1]ИП 2012-2018'!$Q$553</f>
        <v>0</v>
      </c>
    </row>
    <row r="6" spans="1:27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3"/>
      <c r="Z6" s="67">
        <f>E669-Z5</f>
        <v>0</v>
      </c>
      <c r="AA6" s="67">
        <f>F669-AA5</f>
        <v>0</v>
      </c>
    </row>
    <row r="7" spans="1:27" ht="15.75" x14ac:dyDescent="0.25">
      <c r="A7" s="87" t="s">
        <v>1</v>
      </c>
      <c r="B7" s="87" t="s">
        <v>2</v>
      </c>
      <c r="C7" s="87"/>
      <c r="D7" s="87" t="s">
        <v>3</v>
      </c>
      <c r="E7" s="87" t="s">
        <v>4</v>
      </c>
      <c r="F7" s="97" t="s">
        <v>5</v>
      </c>
      <c r="G7" s="97"/>
      <c r="H7" s="87" t="s">
        <v>6</v>
      </c>
      <c r="I7" s="87" t="s">
        <v>7</v>
      </c>
      <c r="J7" s="87"/>
      <c r="Y7" s="1" t="s">
        <v>529</v>
      </c>
      <c r="Z7" s="67">
        <f>'[1]ИП 2019-2024'!$Q$570</f>
        <v>314885.39232172951</v>
      </c>
      <c r="AA7" s="67">
        <f>'[1]ИП 2019-2024'!$Q$573</f>
        <v>368887.59123667679</v>
      </c>
    </row>
    <row r="8" spans="1:27" ht="70.5" customHeight="1" x14ac:dyDescent="0.25">
      <c r="A8" s="87"/>
      <c r="B8" s="56" t="s">
        <v>8</v>
      </c>
      <c r="C8" s="56" t="s">
        <v>9</v>
      </c>
      <c r="D8" s="87"/>
      <c r="E8" s="87"/>
      <c r="F8" s="55" t="s">
        <v>10</v>
      </c>
      <c r="G8" s="56" t="s">
        <v>11</v>
      </c>
      <c r="H8" s="87"/>
      <c r="I8" s="55" t="s">
        <v>10</v>
      </c>
      <c r="J8" s="14" t="s">
        <v>11</v>
      </c>
      <c r="Z8" s="67">
        <f>E654-Z7</f>
        <v>-1.4319666661322117E-6</v>
      </c>
      <c r="AA8" s="67">
        <f>H654-AA7</f>
        <v>-5.7999917771667242E-5</v>
      </c>
    </row>
    <row r="9" spans="1:27" ht="15.75" x14ac:dyDescent="0.25">
      <c r="A9" s="97" t="s">
        <v>12</v>
      </c>
      <c r="B9" s="97"/>
      <c r="C9" s="97"/>
      <c r="D9" s="97"/>
      <c r="E9" s="97"/>
      <c r="F9" s="97"/>
      <c r="G9" s="97"/>
      <c r="H9" s="97"/>
      <c r="I9" s="97"/>
      <c r="J9" s="97"/>
    </row>
    <row r="10" spans="1:27" ht="17.25" customHeight="1" x14ac:dyDescent="0.25">
      <c r="A10" s="115" t="s">
        <v>42</v>
      </c>
      <c r="B10" s="89" t="s">
        <v>22</v>
      </c>
      <c r="C10" s="89"/>
      <c r="D10" s="89"/>
      <c r="E10" s="49">
        <f>G10</f>
        <v>15.225043992606301</v>
      </c>
      <c r="F10" s="49"/>
      <c r="G10" s="49">
        <v>15.225043992606301</v>
      </c>
      <c r="H10" s="49">
        <f>J10</f>
        <v>67.026479999999992</v>
      </c>
      <c r="I10" s="49"/>
      <c r="J10" s="49">
        <v>67.026479999999992</v>
      </c>
    </row>
    <row r="11" spans="1:27" ht="17.25" customHeight="1" x14ac:dyDescent="0.25">
      <c r="A11" s="116"/>
      <c r="B11" s="89" t="s">
        <v>27</v>
      </c>
      <c r="C11" s="89"/>
      <c r="D11" s="89"/>
      <c r="E11" s="49">
        <f t="shared" ref="E11:E52" si="3">G11</f>
        <v>56.709023486800604</v>
      </c>
      <c r="F11" s="49"/>
      <c r="G11" s="49">
        <v>56.709023486800604</v>
      </c>
      <c r="H11" s="49">
        <f t="shared" ref="H11:H52" si="4">J11</f>
        <v>12.120419999999999</v>
      </c>
      <c r="I11" s="49"/>
      <c r="J11" s="49">
        <v>12.120419999999999</v>
      </c>
    </row>
    <row r="12" spans="1:27" ht="17.25" customHeight="1" x14ac:dyDescent="0.25">
      <c r="A12" s="116"/>
      <c r="B12" s="89" t="s">
        <v>28</v>
      </c>
      <c r="C12" s="89"/>
      <c r="D12" s="89"/>
      <c r="E12" s="49">
        <f t="shared" si="3"/>
        <v>16.120225076313702</v>
      </c>
      <c r="F12" s="49"/>
      <c r="G12" s="49">
        <v>16.120225076313702</v>
      </c>
      <c r="H12" s="49">
        <f t="shared" si="4"/>
        <v>27.195349999999998</v>
      </c>
      <c r="I12" s="49"/>
      <c r="J12" s="49">
        <v>27.195349999999998</v>
      </c>
    </row>
    <row r="13" spans="1:27" ht="17.25" customHeight="1" x14ac:dyDescent="0.25">
      <c r="A13" s="116"/>
      <c r="B13" s="89" t="s">
        <v>207</v>
      </c>
      <c r="C13" s="89"/>
      <c r="D13" s="89"/>
      <c r="E13" s="49">
        <f>+G13</f>
        <v>18.287957444279296</v>
      </c>
      <c r="F13" s="49"/>
      <c r="G13" s="49">
        <f>18287.9574442793/1000</f>
        <v>18.287957444279296</v>
      </c>
      <c r="H13" s="49"/>
      <c r="I13" s="49"/>
      <c r="J13" s="49"/>
    </row>
    <row r="14" spans="1:27" ht="17.25" customHeight="1" x14ac:dyDescent="0.25">
      <c r="A14" s="116"/>
      <c r="B14" s="89" t="s">
        <v>146</v>
      </c>
      <c r="C14" s="89"/>
      <c r="D14" s="89"/>
      <c r="E14" s="49">
        <f>+G14</f>
        <v>9.1941305786350203</v>
      </c>
      <c r="F14" s="49"/>
      <c r="G14" s="49">
        <f>9194.13057863502/1000</f>
        <v>9.1941305786350203</v>
      </c>
      <c r="H14" s="49">
        <f>+J14</f>
        <v>25.134840000000001</v>
      </c>
      <c r="I14" s="49"/>
      <c r="J14" s="49">
        <f>25134.84/1000</f>
        <v>25.134840000000001</v>
      </c>
    </row>
    <row r="15" spans="1:27" ht="17.25" customHeight="1" x14ac:dyDescent="0.25">
      <c r="A15" s="116"/>
      <c r="B15" s="89" t="s">
        <v>222</v>
      </c>
      <c r="C15" s="89"/>
      <c r="D15" s="89"/>
      <c r="E15" s="49">
        <f>+G15</f>
        <v>15.940709421365</v>
      </c>
      <c r="F15" s="49"/>
      <c r="G15" s="49">
        <f>15940.709421365/1000</f>
        <v>15.940709421365</v>
      </c>
      <c r="H15" s="49">
        <f>+J15</f>
        <v>0</v>
      </c>
      <c r="I15" s="49"/>
      <c r="J15" s="49"/>
    </row>
    <row r="16" spans="1:27" ht="17.25" customHeight="1" x14ac:dyDescent="0.25">
      <c r="A16" s="116"/>
      <c r="B16" s="90" t="s">
        <v>259</v>
      </c>
      <c r="C16" s="91"/>
      <c r="D16" s="92"/>
      <c r="E16" s="49">
        <f t="shared" ref="E16:E18" si="5">G16</f>
        <v>3.5626089900732634</v>
      </c>
      <c r="F16" s="49"/>
      <c r="G16" s="49">
        <f>J16</f>
        <v>3.5626089900732634</v>
      </c>
      <c r="H16" s="49">
        <f>J16</f>
        <v>3.5626089900732634</v>
      </c>
      <c r="I16" s="49"/>
      <c r="J16" s="49">
        <f>3432.05/1000+130.558990073263/1000</f>
        <v>3.5626089900732634</v>
      </c>
    </row>
    <row r="17" spans="1:10" ht="17.25" customHeight="1" x14ac:dyDescent="0.25">
      <c r="A17" s="116"/>
      <c r="B17" s="90" t="s">
        <v>360</v>
      </c>
      <c r="C17" s="91"/>
      <c r="D17" s="92"/>
      <c r="E17" s="49">
        <f t="shared" si="5"/>
        <v>3.3397439603786307</v>
      </c>
      <c r="F17" s="49"/>
      <c r="G17" s="49">
        <f>J17</f>
        <v>3.3397439603786307</v>
      </c>
      <c r="H17" s="49">
        <f>J17</f>
        <v>3.3397439603786307</v>
      </c>
      <c r="I17" s="49"/>
      <c r="J17" s="49">
        <f>3108.97/1000+230.773960378631/1000</f>
        <v>3.3397439603786307</v>
      </c>
    </row>
    <row r="18" spans="1:10" ht="17.25" customHeight="1" x14ac:dyDescent="0.25">
      <c r="A18" s="116"/>
      <c r="B18" s="90" t="s">
        <v>409</v>
      </c>
      <c r="C18" s="91"/>
      <c r="D18" s="92"/>
      <c r="E18" s="49">
        <f t="shared" si="5"/>
        <v>3.0157907042740981</v>
      </c>
      <c r="F18" s="49"/>
      <c r="G18" s="49">
        <f>J18</f>
        <v>3.0157907042740981</v>
      </c>
      <c r="H18" s="49">
        <f>J18</f>
        <v>3.0157907042740981</v>
      </c>
      <c r="I18" s="49"/>
      <c r="J18" s="49">
        <f>2832.5/1000+183.290704274098/1000</f>
        <v>3.0157907042740981</v>
      </c>
    </row>
    <row r="19" spans="1:10" ht="17.25" customHeight="1" x14ac:dyDescent="0.25">
      <c r="A19" s="117"/>
      <c r="B19" s="90" t="s">
        <v>452</v>
      </c>
      <c r="C19" s="91"/>
      <c r="D19" s="92"/>
      <c r="E19" s="49">
        <f t="shared" ref="E19" si="6">G19</f>
        <v>1.975176043473625</v>
      </c>
      <c r="F19" s="49"/>
      <c r="G19" s="49">
        <f>J19</f>
        <v>1.975176043473625</v>
      </c>
      <c r="H19" s="49">
        <f>J19</f>
        <v>1.975176043473625</v>
      </c>
      <c r="I19" s="49"/>
      <c r="J19" s="49">
        <f>1863.65/1000+111.526043473625/1000</f>
        <v>1.975176043473625</v>
      </c>
    </row>
    <row r="20" spans="1:10" x14ac:dyDescent="0.25">
      <c r="A20" s="115" t="s">
        <v>43</v>
      </c>
      <c r="B20" s="89" t="s">
        <v>22</v>
      </c>
      <c r="C20" s="89"/>
      <c r="D20" s="89"/>
      <c r="E20" s="49">
        <f t="shared" si="3"/>
        <v>30.450090942698697</v>
      </c>
      <c r="F20" s="49"/>
      <c r="G20" s="49">
        <v>30.450090942698697</v>
      </c>
      <c r="H20" s="49">
        <f t="shared" si="4"/>
        <v>134.05313000000001</v>
      </c>
      <c r="I20" s="49"/>
      <c r="J20" s="49">
        <v>134.05313000000001</v>
      </c>
    </row>
    <row r="21" spans="1:10" x14ac:dyDescent="0.25">
      <c r="A21" s="116"/>
      <c r="B21" s="89" t="s">
        <v>27</v>
      </c>
      <c r="C21" s="89"/>
      <c r="D21" s="89"/>
      <c r="E21" s="49">
        <f t="shared" si="3"/>
        <v>114.757717146263</v>
      </c>
      <c r="F21" s="49"/>
      <c r="G21" s="49">
        <v>114.757717146263</v>
      </c>
      <c r="H21" s="49">
        <f t="shared" si="4"/>
        <v>27.549049999999994</v>
      </c>
      <c r="I21" s="49"/>
      <c r="J21" s="49">
        <v>27.549049999999994</v>
      </c>
    </row>
    <row r="22" spans="1:10" x14ac:dyDescent="0.25">
      <c r="A22" s="116"/>
      <c r="B22" s="89" t="s">
        <v>28</v>
      </c>
      <c r="C22" s="89"/>
      <c r="D22" s="89"/>
      <c r="E22" s="49">
        <f t="shared" si="3"/>
        <v>30.928798196327598</v>
      </c>
      <c r="F22" s="49"/>
      <c r="G22" s="49">
        <v>30.928798196327598</v>
      </c>
      <c r="H22" s="49">
        <f t="shared" si="4"/>
        <v>44.375419999999998</v>
      </c>
      <c r="I22" s="49"/>
      <c r="J22" s="49">
        <v>44.375419999999998</v>
      </c>
    </row>
    <row r="23" spans="1:10" x14ac:dyDescent="0.25">
      <c r="A23" s="116"/>
      <c r="B23" s="89" t="s">
        <v>207</v>
      </c>
      <c r="C23" s="89"/>
      <c r="D23" s="89"/>
      <c r="E23" s="49">
        <f>+G23</f>
        <v>29.840993714710301</v>
      </c>
      <c r="F23" s="49"/>
      <c r="G23" s="49">
        <v>29.840993714710301</v>
      </c>
      <c r="H23" s="49"/>
      <c r="I23" s="49"/>
      <c r="J23" s="49"/>
    </row>
    <row r="24" spans="1:10" x14ac:dyDescent="0.25">
      <c r="A24" s="116"/>
      <c r="B24" s="89" t="s">
        <v>146</v>
      </c>
      <c r="C24" s="89"/>
      <c r="D24" s="89"/>
      <c r="E24" s="49">
        <f>+G24</f>
        <v>9.1941305786350203</v>
      </c>
      <c r="F24" s="49"/>
      <c r="G24" s="49">
        <f>9194.13057863502/1000</f>
        <v>9.1941305786350203</v>
      </c>
      <c r="H24" s="49">
        <f>+J24</f>
        <v>25.134840000000001</v>
      </c>
      <c r="I24" s="49"/>
      <c r="J24" s="49">
        <f>25134.84/1000</f>
        <v>25.134840000000001</v>
      </c>
    </row>
    <row r="25" spans="1:10" x14ac:dyDescent="0.25">
      <c r="A25" s="116"/>
      <c r="B25" s="89" t="s">
        <v>222</v>
      </c>
      <c r="C25" s="89"/>
      <c r="D25" s="89"/>
      <c r="E25" s="49">
        <f>+G25</f>
        <v>15.940709421365</v>
      </c>
      <c r="F25" s="49"/>
      <c r="G25" s="49">
        <f>15940.709421365/1000</f>
        <v>15.940709421365</v>
      </c>
      <c r="H25" s="49">
        <f>+J25</f>
        <v>0</v>
      </c>
      <c r="I25" s="49"/>
      <c r="J25" s="49"/>
    </row>
    <row r="26" spans="1:10" x14ac:dyDescent="0.25">
      <c r="A26" s="116"/>
      <c r="B26" s="90" t="s">
        <v>259</v>
      </c>
      <c r="C26" s="91"/>
      <c r="D26" s="92"/>
      <c r="E26" s="49">
        <f t="shared" ref="E26:E29" si="7">G26</f>
        <v>6.900523601570673</v>
      </c>
      <c r="F26" s="49"/>
      <c r="G26" s="49">
        <f>J26</f>
        <v>6.900523601570673</v>
      </c>
      <c r="H26" s="49">
        <f t="shared" ref="H26:H31" si="8">J26</f>
        <v>6.900523601570673</v>
      </c>
      <c r="I26" s="49"/>
      <c r="J26" s="49">
        <f>6647.64/1000+252.883601570673/1000</f>
        <v>6.900523601570673</v>
      </c>
    </row>
    <row r="27" spans="1:10" x14ac:dyDescent="0.25">
      <c r="A27" s="116"/>
      <c r="B27" s="90" t="s">
        <v>360</v>
      </c>
      <c r="C27" s="91"/>
      <c r="D27" s="92"/>
      <c r="E27" s="49">
        <f t="shared" si="7"/>
        <v>6.4688532103061984</v>
      </c>
      <c r="F27" s="49"/>
      <c r="G27" s="49">
        <f>J27</f>
        <v>6.4688532103061984</v>
      </c>
      <c r="H27" s="49">
        <f t="shared" si="8"/>
        <v>6.4688532103061984</v>
      </c>
      <c r="I27" s="49"/>
      <c r="J27" s="49">
        <f>6021.86/1000+446.993210306199/1000</f>
        <v>6.4688532103061984</v>
      </c>
    </row>
    <row r="28" spans="1:10" x14ac:dyDescent="0.25">
      <c r="A28" s="116"/>
      <c r="B28" s="90" t="s">
        <v>409</v>
      </c>
      <c r="C28" s="91"/>
      <c r="D28" s="92"/>
      <c r="E28" s="49">
        <f t="shared" si="7"/>
        <v>5.8413603433317398</v>
      </c>
      <c r="F28" s="49"/>
      <c r="G28" s="49">
        <f>J28</f>
        <v>5.8413603433317398</v>
      </c>
      <c r="H28" s="49">
        <f t="shared" si="8"/>
        <v>5.8413603433317398</v>
      </c>
      <c r="I28" s="49"/>
      <c r="J28" s="49">
        <f>5486.34/1000+355.02034333174/1000</f>
        <v>5.8413603433317398</v>
      </c>
    </row>
    <row r="29" spans="1:10" x14ac:dyDescent="0.25">
      <c r="A29" s="117"/>
      <c r="B29" s="90" t="s">
        <v>452</v>
      </c>
      <c r="C29" s="91"/>
      <c r="D29" s="92"/>
      <c r="E29" s="49">
        <f t="shared" si="7"/>
        <v>3.9659847683204883</v>
      </c>
      <c r="F29" s="49"/>
      <c r="G29" s="49">
        <f>J29</f>
        <v>3.9659847683204883</v>
      </c>
      <c r="H29" s="49">
        <f t="shared" si="8"/>
        <v>3.9659847683204883</v>
      </c>
      <c r="I29" s="49"/>
      <c r="J29" s="49">
        <f>3742.05/1000+223.934768320488/1000</f>
        <v>3.9659847683204883</v>
      </c>
    </row>
    <row r="30" spans="1:10" ht="28.5" x14ac:dyDescent="0.25">
      <c r="A30" s="115" t="s">
        <v>128</v>
      </c>
      <c r="B30" s="93" t="s">
        <v>219</v>
      </c>
      <c r="C30" s="93" t="s">
        <v>220</v>
      </c>
      <c r="D30" s="103">
        <v>1800</v>
      </c>
      <c r="E30" s="49">
        <f>+G30</f>
        <v>783.6</v>
      </c>
      <c r="F30" s="6" t="s">
        <v>221</v>
      </c>
      <c r="G30" s="49">
        <f>783600/1000</f>
        <v>783.6</v>
      </c>
      <c r="H30" s="49">
        <f t="shared" si="8"/>
        <v>783.6</v>
      </c>
      <c r="I30" s="6" t="s">
        <v>255</v>
      </c>
      <c r="J30" s="49">
        <f>653000*1.2/1000</f>
        <v>783.6</v>
      </c>
    </row>
    <row r="31" spans="1:10" ht="28.5" x14ac:dyDescent="0.25">
      <c r="A31" s="116"/>
      <c r="B31" s="94"/>
      <c r="C31" s="94"/>
      <c r="D31" s="105"/>
      <c r="E31" s="49">
        <f>+G31</f>
        <v>774</v>
      </c>
      <c r="F31" s="6" t="s">
        <v>418</v>
      </c>
      <c r="G31" s="49">
        <f>774000/1000</f>
        <v>774</v>
      </c>
      <c r="H31" s="49">
        <f t="shared" si="8"/>
        <v>774</v>
      </c>
      <c r="I31" s="6" t="s">
        <v>325</v>
      </c>
      <c r="J31" s="49">
        <f>645000*1.2/1000</f>
        <v>774</v>
      </c>
    </row>
    <row r="32" spans="1:10" x14ac:dyDescent="0.25">
      <c r="A32" s="116"/>
      <c r="B32" s="90" t="s">
        <v>259</v>
      </c>
      <c r="C32" s="91"/>
      <c r="D32" s="92"/>
      <c r="E32" s="49">
        <f t="shared" ref="E32:E35" si="9">G32</f>
        <v>10.366708952976692</v>
      </c>
      <c r="F32" s="49"/>
      <c r="G32" s="49">
        <f>J32</f>
        <v>10.366708952976692</v>
      </c>
      <c r="H32" s="49">
        <f>J32</f>
        <v>10.366708952976692</v>
      </c>
      <c r="I32" s="49"/>
      <c r="J32" s="49">
        <f>9986.8/1000+379.908952976693/1000</f>
        <v>10.366708952976692</v>
      </c>
    </row>
    <row r="33" spans="1:10" x14ac:dyDescent="0.25">
      <c r="A33" s="116"/>
      <c r="B33" s="90" t="s">
        <v>360</v>
      </c>
      <c r="C33" s="91"/>
      <c r="D33" s="92"/>
      <c r="E33" s="49">
        <f t="shared" si="9"/>
        <v>7.5055051293162194</v>
      </c>
      <c r="F33" s="49"/>
      <c r="G33" s="49">
        <f>J33</f>
        <v>7.5055051293162194</v>
      </c>
      <c r="H33" s="49">
        <f>J33</f>
        <v>7.5055051293162194</v>
      </c>
      <c r="I33" s="49"/>
      <c r="J33" s="49">
        <f>6986.88/1000+518.625129316219/1000</f>
        <v>7.5055051293162194</v>
      </c>
    </row>
    <row r="34" spans="1:10" x14ac:dyDescent="0.25">
      <c r="A34" s="116"/>
      <c r="B34" s="90" t="s">
        <v>409</v>
      </c>
      <c r="C34" s="91"/>
      <c r="D34" s="92"/>
      <c r="E34" s="49">
        <f t="shared" si="9"/>
        <v>4.9538075493370588</v>
      </c>
      <c r="F34" s="49"/>
      <c r="G34" s="49">
        <f>J34</f>
        <v>4.9538075493370588</v>
      </c>
      <c r="H34" s="49">
        <f>J34</f>
        <v>4.9538075493370588</v>
      </c>
      <c r="I34" s="49"/>
      <c r="J34" s="49">
        <f>4652.73/1000+301.07754933706/1000</f>
        <v>4.9538075493370588</v>
      </c>
    </row>
    <row r="35" spans="1:10" x14ac:dyDescent="0.25">
      <c r="A35" s="117"/>
      <c r="B35" s="90" t="s">
        <v>452</v>
      </c>
      <c r="C35" s="91"/>
      <c r="D35" s="92"/>
      <c r="E35" s="49">
        <f t="shared" si="9"/>
        <v>11.366231169710362</v>
      </c>
      <c r="F35" s="49"/>
      <c r="G35" s="49">
        <f>J35</f>
        <v>11.366231169710362</v>
      </c>
      <c r="H35" s="49">
        <f>J35</f>
        <v>11.366231169710362</v>
      </c>
      <c r="I35" s="49"/>
      <c r="J35" s="49">
        <f>10724.45/1000+641.781169710361/1000</f>
        <v>11.366231169710362</v>
      </c>
    </row>
    <row r="36" spans="1:10" ht="28.5" x14ac:dyDescent="0.25">
      <c r="A36" s="88" t="s">
        <v>152</v>
      </c>
      <c r="B36" s="89" t="s">
        <v>153</v>
      </c>
      <c r="C36" s="89" t="s">
        <v>154</v>
      </c>
      <c r="D36" s="93">
        <v>75.765000000000001</v>
      </c>
      <c r="E36" s="49">
        <f>+G36</f>
        <v>37.8825</v>
      </c>
      <c r="F36" s="6" t="s">
        <v>198</v>
      </c>
      <c r="G36" s="49">
        <f>37882.5/1000</f>
        <v>37.8825</v>
      </c>
      <c r="H36" s="49">
        <f>+J36</f>
        <v>75.765000000000001</v>
      </c>
      <c r="I36" s="6" t="s">
        <v>182</v>
      </c>
      <c r="J36" s="49">
        <f>75765/1000</f>
        <v>75.765000000000001</v>
      </c>
    </row>
    <row r="37" spans="1:10" ht="28.5" x14ac:dyDescent="0.25">
      <c r="A37" s="88"/>
      <c r="B37" s="89"/>
      <c r="C37" s="89"/>
      <c r="D37" s="94"/>
      <c r="E37" s="49">
        <v>37.8825</v>
      </c>
      <c r="F37" s="6" t="s">
        <v>155</v>
      </c>
      <c r="G37" s="49">
        <v>37.8825</v>
      </c>
      <c r="H37" s="49"/>
      <c r="I37" s="49"/>
      <c r="J37" s="49"/>
    </row>
    <row r="38" spans="1:10" ht="71.25" x14ac:dyDescent="0.25">
      <c r="A38" s="88"/>
      <c r="B38" s="48" t="s">
        <v>227</v>
      </c>
      <c r="C38" s="48" t="s">
        <v>228</v>
      </c>
      <c r="D38" s="53">
        <f>2154171.02/1000</f>
        <v>2154.1710200000002</v>
      </c>
      <c r="E38" s="49">
        <f>G38</f>
        <v>2154.1710200000002</v>
      </c>
      <c r="F38" s="6" t="s">
        <v>229</v>
      </c>
      <c r="G38" s="49">
        <f>2154171.02/1000</f>
        <v>2154.1710200000002</v>
      </c>
      <c r="H38" s="49">
        <f t="shared" ref="H38:H44" si="10">+J38</f>
        <v>2154.1710200000002</v>
      </c>
      <c r="I38" s="6" t="s">
        <v>320</v>
      </c>
      <c r="J38" s="49">
        <f>2154171.02/1000</f>
        <v>2154.1710200000002</v>
      </c>
    </row>
    <row r="39" spans="1:10" ht="42.75" x14ac:dyDescent="0.25">
      <c r="A39" s="88"/>
      <c r="B39" s="48" t="s">
        <v>311</v>
      </c>
      <c r="C39" s="48" t="s">
        <v>312</v>
      </c>
      <c r="D39" s="53">
        <v>78</v>
      </c>
      <c r="E39" s="49">
        <f>G39</f>
        <v>78</v>
      </c>
      <c r="F39" s="6" t="s">
        <v>271</v>
      </c>
      <c r="G39" s="49">
        <f>78000/1000</f>
        <v>78</v>
      </c>
      <c r="H39" s="49">
        <f t="shared" si="10"/>
        <v>78</v>
      </c>
      <c r="I39" s="6" t="s">
        <v>321</v>
      </c>
      <c r="J39" s="49">
        <f>78000/1000</f>
        <v>78</v>
      </c>
    </row>
    <row r="40" spans="1:10" ht="28.5" x14ac:dyDescent="0.25">
      <c r="A40" s="88"/>
      <c r="B40" s="93" t="s">
        <v>131</v>
      </c>
      <c r="C40" s="93" t="s">
        <v>85</v>
      </c>
      <c r="D40" s="103">
        <f>13349.58333</f>
        <v>13349.583329999999</v>
      </c>
      <c r="E40" s="49">
        <f>G40</f>
        <v>5838.9539999999997</v>
      </c>
      <c r="F40" s="6" t="s">
        <v>344</v>
      </c>
      <c r="G40" s="49">
        <f>5838954/1000</f>
        <v>5838.9539999999997</v>
      </c>
      <c r="H40" s="49">
        <f t="shared" si="10"/>
        <v>5838.9546</v>
      </c>
      <c r="I40" s="6" t="s">
        <v>451</v>
      </c>
      <c r="J40" s="49">
        <f>4865795.5*1.2/1000</f>
        <v>5838.9546</v>
      </c>
    </row>
    <row r="41" spans="1:10" ht="28.5" x14ac:dyDescent="0.25">
      <c r="A41" s="88"/>
      <c r="B41" s="94"/>
      <c r="C41" s="94"/>
      <c r="D41" s="105"/>
      <c r="E41" s="49">
        <f>G41</f>
        <v>600</v>
      </c>
      <c r="F41" s="6" t="s">
        <v>433</v>
      </c>
      <c r="G41" s="49">
        <f>600000/1000</f>
        <v>600</v>
      </c>
      <c r="H41" s="49">
        <f t="shared" si="10"/>
        <v>600</v>
      </c>
      <c r="I41" s="6" t="s">
        <v>369</v>
      </c>
      <c r="J41" s="49">
        <f>500000*1.2/1000</f>
        <v>600</v>
      </c>
    </row>
    <row r="42" spans="1:10" x14ac:dyDescent="0.25">
      <c r="A42" s="88"/>
      <c r="B42" s="90" t="s">
        <v>359</v>
      </c>
      <c r="C42" s="91"/>
      <c r="D42" s="92"/>
      <c r="E42" s="49">
        <f>+G42</f>
        <v>4.3140829957203994</v>
      </c>
      <c r="F42" s="49"/>
      <c r="G42" s="49">
        <f>4314.0829957204/1000</f>
        <v>4.3140829957203994</v>
      </c>
      <c r="H42" s="49">
        <f t="shared" si="10"/>
        <v>10.888209999999999</v>
      </c>
      <c r="I42" s="49"/>
      <c r="J42" s="49">
        <f>10888.21/1000</f>
        <v>10.888209999999999</v>
      </c>
    </row>
    <row r="43" spans="1:10" x14ac:dyDescent="0.25">
      <c r="A43" s="88"/>
      <c r="B43" s="90" t="s">
        <v>408</v>
      </c>
      <c r="C43" s="91"/>
      <c r="D43" s="92"/>
      <c r="E43" s="49">
        <f>+G43</f>
        <v>10.658929425663199</v>
      </c>
      <c r="F43" s="49"/>
      <c r="G43" s="49">
        <f>10658.9294256632/1000</f>
        <v>10.658929425663199</v>
      </c>
      <c r="H43" s="49">
        <f t="shared" si="10"/>
        <v>11.60694</v>
      </c>
      <c r="I43" s="49"/>
      <c r="J43" s="49">
        <f>11606.94/1000</f>
        <v>11.60694</v>
      </c>
    </row>
    <row r="44" spans="1:10" x14ac:dyDescent="0.25">
      <c r="A44" s="88"/>
      <c r="B44" s="90" t="s">
        <v>465</v>
      </c>
      <c r="C44" s="91"/>
      <c r="D44" s="92"/>
      <c r="E44" s="49">
        <f>+G44</f>
        <v>7.5221375786163502</v>
      </c>
      <c r="F44" s="49"/>
      <c r="G44" s="49">
        <f>7522.13757861635/1000</f>
        <v>7.5221375786163502</v>
      </c>
      <c r="H44" s="49">
        <f t="shared" si="10"/>
        <v>0</v>
      </c>
      <c r="I44" s="49"/>
      <c r="J44" s="49"/>
    </row>
    <row r="45" spans="1:10" x14ac:dyDescent="0.25">
      <c r="A45" s="88"/>
      <c r="B45" s="90" t="s">
        <v>259</v>
      </c>
      <c r="C45" s="91"/>
      <c r="D45" s="92"/>
      <c r="E45" s="49">
        <f t="shared" ref="E45:E48" si="11">G45</f>
        <v>257.06002287309553</v>
      </c>
      <c r="F45" s="49"/>
      <c r="G45" s="49">
        <f>J45</f>
        <v>257.06002287309553</v>
      </c>
      <c r="H45" s="49">
        <f>J45</f>
        <v>257.06002287309553</v>
      </c>
      <c r="I45" s="49"/>
      <c r="J45" s="49">
        <f>247639.54/1000+9420.48287309552/1000</f>
        <v>257.06002287309553</v>
      </c>
    </row>
    <row r="46" spans="1:10" x14ac:dyDescent="0.25">
      <c r="A46" s="88"/>
      <c r="B46" s="90" t="s">
        <v>360</v>
      </c>
      <c r="C46" s="91"/>
      <c r="D46" s="92"/>
      <c r="E46" s="49">
        <f t="shared" si="11"/>
        <v>176.84813159870029</v>
      </c>
      <c r="F46" s="49"/>
      <c r="G46" s="49">
        <f>J46</f>
        <v>176.84813159870029</v>
      </c>
      <c r="H46" s="49">
        <f>J46</f>
        <v>176.84813159870029</v>
      </c>
      <c r="I46" s="49"/>
      <c r="J46" s="49">
        <f>164628.05/1000+12220.0815987003/1000</f>
        <v>176.84813159870029</v>
      </c>
    </row>
    <row r="47" spans="1:10" x14ac:dyDescent="0.25">
      <c r="A47" s="88"/>
      <c r="B47" s="90" t="s">
        <v>409</v>
      </c>
      <c r="C47" s="91"/>
      <c r="D47" s="92"/>
      <c r="E47" s="49">
        <f t="shared" si="11"/>
        <v>236.89224968074799</v>
      </c>
      <c r="F47" s="49"/>
      <c r="G47" s="49">
        <f>J47</f>
        <v>236.89224968074799</v>
      </c>
      <c r="H47" s="49">
        <f>J47</f>
        <v>236.89224968074799</v>
      </c>
      <c r="I47" s="49"/>
      <c r="J47" s="49">
        <f>222494.65/1000+14397.599680748/1000</f>
        <v>236.89224968074799</v>
      </c>
    </row>
    <row r="48" spans="1:10" x14ac:dyDescent="0.25">
      <c r="A48" s="88"/>
      <c r="B48" s="90" t="s">
        <v>452</v>
      </c>
      <c r="C48" s="91"/>
      <c r="D48" s="92"/>
      <c r="E48" s="49">
        <f t="shared" si="11"/>
        <v>149.56591750309065</v>
      </c>
      <c r="F48" s="49"/>
      <c r="G48" s="49">
        <f>J48</f>
        <v>149.56591750309065</v>
      </c>
      <c r="H48" s="49">
        <f>J48</f>
        <v>149.56591750309065</v>
      </c>
      <c r="I48" s="49"/>
      <c r="J48" s="49">
        <f>141120.85/1000+8445.06750309063/1000</f>
        <v>149.56591750309065</v>
      </c>
    </row>
    <row r="49" spans="1:10" ht="42.75" x14ac:dyDescent="0.25">
      <c r="A49" s="116" t="s">
        <v>44</v>
      </c>
      <c r="B49" s="42" t="s">
        <v>445</v>
      </c>
      <c r="C49" s="42" t="s">
        <v>446</v>
      </c>
      <c r="D49" s="45">
        <v>5000</v>
      </c>
      <c r="E49" s="49">
        <f>G49</f>
        <v>2395.5184800000002</v>
      </c>
      <c r="F49" s="6" t="s">
        <v>447</v>
      </c>
      <c r="G49" s="49">
        <f>2395518.48/1000</f>
        <v>2395.5184800000002</v>
      </c>
      <c r="H49" s="49">
        <f>+J49</f>
        <v>2395.5184800000002</v>
      </c>
      <c r="I49" s="6" t="s">
        <v>453</v>
      </c>
      <c r="J49" s="49">
        <f>2395518.48/1000</f>
        <v>2395.5184800000002</v>
      </c>
    </row>
    <row r="50" spans="1:10" x14ac:dyDescent="0.25">
      <c r="A50" s="116"/>
      <c r="B50" s="89" t="s">
        <v>22</v>
      </c>
      <c r="C50" s="89"/>
      <c r="D50" s="89"/>
      <c r="E50" s="49">
        <f t="shared" si="3"/>
        <v>8.8067282809611811</v>
      </c>
      <c r="F50" s="49"/>
      <c r="G50" s="49">
        <v>8.8067282809611811</v>
      </c>
      <c r="H50" s="49">
        <f t="shared" si="4"/>
        <v>38.770589999999999</v>
      </c>
      <c r="I50" s="49"/>
      <c r="J50" s="49">
        <v>38.770589999999999</v>
      </c>
    </row>
    <row r="51" spans="1:10" x14ac:dyDescent="0.25">
      <c r="A51" s="116"/>
      <c r="B51" s="89" t="s">
        <v>27</v>
      </c>
      <c r="C51" s="89"/>
      <c r="D51" s="89"/>
      <c r="E51" s="49">
        <f t="shared" si="3"/>
        <v>36.909959906847696</v>
      </c>
      <c r="F51" s="49"/>
      <c r="G51" s="49">
        <v>36.909959906847696</v>
      </c>
      <c r="H51" s="49">
        <f t="shared" si="4"/>
        <v>17.154959999999999</v>
      </c>
      <c r="I51" s="49"/>
      <c r="J51" s="49">
        <v>17.154959999999999</v>
      </c>
    </row>
    <row r="52" spans="1:10" x14ac:dyDescent="0.25">
      <c r="A52" s="116"/>
      <c r="B52" s="89" t="s">
        <v>28</v>
      </c>
      <c r="C52" s="89"/>
      <c r="D52" s="89"/>
      <c r="E52" s="49">
        <f t="shared" si="3"/>
        <v>23.1836243381941</v>
      </c>
      <c r="F52" s="49"/>
      <c r="G52" s="49">
        <v>23.1836243381941</v>
      </c>
      <c r="H52" s="49">
        <f t="shared" si="4"/>
        <v>39.613589999999995</v>
      </c>
      <c r="I52" s="49"/>
      <c r="J52" s="49">
        <v>39.613589999999995</v>
      </c>
    </row>
    <row r="53" spans="1:10" x14ac:dyDescent="0.25">
      <c r="A53" s="116"/>
      <c r="B53" s="89" t="s">
        <v>207</v>
      </c>
      <c r="C53" s="89"/>
      <c r="D53" s="89"/>
      <c r="E53" s="49">
        <f>+G53</f>
        <v>30.5575668302202</v>
      </c>
      <c r="F53" s="49"/>
      <c r="G53" s="49">
        <f>30557.5668302202/1000</f>
        <v>30.5575668302202</v>
      </c>
      <c r="H53" s="49">
        <f>+J53</f>
        <v>10.103209999999999</v>
      </c>
      <c r="I53" s="49"/>
      <c r="J53" s="49">
        <f>10103.21/1000</f>
        <v>10.103209999999999</v>
      </c>
    </row>
    <row r="54" spans="1:10" x14ac:dyDescent="0.25">
      <c r="A54" s="116"/>
      <c r="B54" s="89" t="s">
        <v>167</v>
      </c>
      <c r="C54" s="89"/>
      <c r="D54" s="89"/>
      <c r="E54" s="49">
        <f>+G54</f>
        <v>6.1844706437768204</v>
      </c>
      <c r="F54" s="49"/>
      <c r="G54" s="49">
        <f>6184.47064377682/1000</f>
        <v>6.1844706437768204</v>
      </c>
      <c r="H54" s="49"/>
      <c r="I54" s="49"/>
      <c r="J54" s="49"/>
    </row>
    <row r="55" spans="1:10" x14ac:dyDescent="0.25">
      <c r="A55" s="116"/>
      <c r="B55" s="90" t="s">
        <v>259</v>
      </c>
      <c r="C55" s="91"/>
      <c r="D55" s="92"/>
      <c r="E55" s="49">
        <f t="shared" ref="E55:E58" si="12">G55</f>
        <v>3.2006959572243701</v>
      </c>
      <c r="F55" s="49"/>
      <c r="G55" s="49">
        <f>J55</f>
        <v>3.2006959572243701</v>
      </c>
      <c r="H55" s="49">
        <f>J55</f>
        <v>3.2006959572243701</v>
      </c>
      <c r="I55" s="49"/>
      <c r="J55" s="49">
        <f>3083.4/1000+117.29595722437/1000</f>
        <v>3.2006959572243701</v>
      </c>
    </row>
    <row r="56" spans="1:10" x14ac:dyDescent="0.25">
      <c r="A56" s="116"/>
      <c r="B56" s="90" t="s">
        <v>360</v>
      </c>
      <c r="C56" s="91"/>
      <c r="D56" s="92"/>
      <c r="E56" s="49">
        <f t="shared" si="12"/>
        <v>3.0004596532138823</v>
      </c>
      <c r="F56" s="49"/>
      <c r="G56" s="49">
        <f>J56</f>
        <v>3.0004596532138823</v>
      </c>
      <c r="H56" s="49">
        <f>J56</f>
        <v>3.0004596532138823</v>
      </c>
      <c r="I56" s="49"/>
      <c r="J56" s="49">
        <f>2793.13/1000+207.329653213882/1000</f>
        <v>3.0004596532138823</v>
      </c>
    </row>
    <row r="57" spans="1:10" x14ac:dyDescent="0.25">
      <c r="A57" s="116"/>
      <c r="B57" s="90" t="s">
        <v>409</v>
      </c>
      <c r="C57" s="91"/>
      <c r="D57" s="92"/>
      <c r="E57" s="49">
        <f t="shared" si="12"/>
        <v>2.7094204394356609</v>
      </c>
      <c r="F57" s="49"/>
      <c r="G57" s="49">
        <f>J57</f>
        <v>2.7094204394356609</v>
      </c>
      <c r="H57" s="49">
        <f>J57</f>
        <v>2.7094204394356609</v>
      </c>
      <c r="I57" s="49"/>
      <c r="J57" s="49">
        <f>2544.75/1000+164.670439435661/1000</f>
        <v>2.7094204394356609</v>
      </c>
    </row>
    <row r="58" spans="1:10" x14ac:dyDescent="0.25">
      <c r="A58" s="117"/>
      <c r="B58" s="90" t="s">
        <v>452</v>
      </c>
      <c r="C58" s="91"/>
      <c r="D58" s="92"/>
      <c r="E58" s="49">
        <f t="shared" si="12"/>
        <v>1.989833669466295</v>
      </c>
      <c r="F58" s="49"/>
      <c r="G58" s="49">
        <f>J58</f>
        <v>1.989833669466295</v>
      </c>
      <c r="H58" s="49">
        <f>J58</f>
        <v>1.989833669466295</v>
      </c>
      <c r="I58" s="49"/>
      <c r="J58" s="49">
        <f>1877.48/1000+112.353669466295/1000</f>
        <v>1.989833669466295</v>
      </c>
    </row>
    <row r="59" spans="1:10" ht="42.75" x14ac:dyDescent="0.25">
      <c r="A59" s="115" t="s">
        <v>25</v>
      </c>
      <c r="B59" s="89" t="s">
        <v>39</v>
      </c>
      <c r="C59" s="89" t="s">
        <v>40</v>
      </c>
      <c r="D59" s="109">
        <v>4250</v>
      </c>
      <c r="E59" s="49">
        <f>+G59</f>
        <v>2982.47073</v>
      </c>
      <c r="F59" s="6" t="s">
        <v>130</v>
      </c>
      <c r="G59" s="49">
        <f>2982470.73/1000</f>
        <v>2982.47073</v>
      </c>
      <c r="H59" s="49">
        <f>J59</f>
        <v>89.208528000000001</v>
      </c>
      <c r="I59" s="47" t="s">
        <v>516</v>
      </c>
      <c r="J59" s="49">
        <f>74340.44*1.2/1000</f>
        <v>89.208528000000001</v>
      </c>
    </row>
    <row r="60" spans="1:10" ht="42.75" x14ac:dyDescent="0.25">
      <c r="A60" s="116"/>
      <c r="B60" s="89"/>
      <c r="C60" s="89"/>
      <c r="D60" s="110"/>
      <c r="E60" s="49">
        <f>+G60</f>
        <v>42.479150000000004</v>
      </c>
      <c r="F60" s="6" t="s">
        <v>129</v>
      </c>
      <c r="G60" s="49">
        <f>42479.15/1000</f>
        <v>42.479150000000004</v>
      </c>
      <c r="H60" s="49">
        <f>+J60</f>
        <v>2780.878056</v>
      </c>
      <c r="I60" s="47" t="s">
        <v>211</v>
      </c>
      <c r="J60" s="49">
        <f>2317398.38/1000*1.2</f>
        <v>2780.878056</v>
      </c>
    </row>
    <row r="61" spans="1:10" ht="42.75" x14ac:dyDescent="0.25">
      <c r="A61" s="116"/>
      <c r="B61" s="89"/>
      <c r="C61" s="89"/>
      <c r="D61" s="110"/>
      <c r="E61" s="49">
        <f>+G61</f>
        <v>74.443610000000007</v>
      </c>
      <c r="F61" s="6" t="s">
        <v>270</v>
      </c>
      <c r="G61" s="49">
        <f>74443.61/1000</f>
        <v>74.443610000000007</v>
      </c>
      <c r="H61" s="49">
        <f>+J61</f>
        <v>42.479148000000002</v>
      </c>
      <c r="I61" s="47" t="s">
        <v>210</v>
      </c>
      <c r="J61" s="49">
        <f>35399.29/1000*1.2</f>
        <v>42.479148000000002</v>
      </c>
    </row>
    <row r="62" spans="1:10" ht="42.75" x14ac:dyDescent="0.25">
      <c r="A62" s="116"/>
      <c r="B62" s="89"/>
      <c r="C62" s="89"/>
      <c r="D62" s="110"/>
      <c r="E62" s="49"/>
      <c r="F62" s="6"/>
      <c r="G62" s="49"/>
      <c r="H62" s="49">
        <f>+J62</f>
        <v>1038.02262</v>
      </c>
      <c r="I62" s="47" t="s">
        <v>209</v>
      </c>
      <c r="J62" s="49">
        <f>865018.85/1000*1.2</f>
        <v>1038.02262</v>
      </c>
    </row>
    <row r="63" spans="1:10" ht="42.75" x14ac:dyDescent="0.25">
      <c r="A63" s="116"/>
      <c r="B63" s="89"/>
      <c r="C63" s="89"/>
      <c r="D63" s="111"/>
      <c r="E63" s="49"/>
      <c r="F63" s="6"/>
      <c r="G63" s="49"/>
      <c r="H63" s="49">
        <f>+J63</f>
        <v>116.465352</v>
      </c>
      <c r="I63" s="47" t="s">
        <v>183</v>
      </c>
      <c r="J63" s="49">
        <f>97054.46*1.2/1000</f>
        <v>116.465352</v>
      </c>
    </row>
    <row r="64" spans="1:10" ht="42.75" x14ac:dyDescent="0.25">
      <c r="A64" s="116"/>
      <c r="B64" s="48" t="s">
        <v>138</v>
      </c>
      <c r="C64" s="48" t="s">
        <v>141</v>
      </c>
      <c r="D64" s="49">
        <f>5951806.3/1000</f>
        <v>5951.8063000000002</v>
      </c>
      <c r="E64" s="49">
        <f>+G64</f>
        <v>287.14290999999997</v>
      </c>
      <c r="F64" s="6" t="s">
        <v>161</v>
      </c>
      <c r="G64" s="49">
        <f>287142.91/1000</f>
        <v>287.14290999999997</v>
      </c>
      <c r="H64" s="49"/>
      <c r="I64" s="47"/>
      <c r="J64" s="49"/>
    </row>
    <row r="65" spans="1:10" x14ac:dyDescent="0.25">
      <c r="A65" s="116"/>
      <c r="B65" s="88" t="s">
        <v>64</v>
      </c>
      <c r="C65" s="88"/>
      <c r="D65" s="88"/>
      <c r="E65" s="23"/>
      <c r="F65" s="23"/>
      <c r="G65" s="23"/>
      <c r="H65" s="7">
        <f t="shared" ref="H65" si="13">J65</f>
        <v>6.8365080000000003</v>
      </c>
      <c r="I65" s="3" t="s">
        <v>63</v>
      </c>
      <c r="J65" s="7">
        <f>5697.09*1.2/1000</f>
        <v>6.8365080000000003</v>
      </c>
    </row>
    <row r="66" spans="1:10" x14ac:dyDescent="0.25">
      <c r="A66" s="116"/>
      <c r="B66" s="88" t="s">
        <v>454</v>
      </c>
      <c r="C66" s="88"/>
      <c r="D66" s="88"/>
      <c r="E66" s="23"/>
      <c r="F66" s="23"/>
      <c r="G66" s="23"/>
      <c r="H66" s="7">
        <f t="shared" ref="H66" si="14">J66</f>
        <v>1058.776284</v>
      </c>
      <c r="I66" s="3" t="s">
        <v>63</v>
      </c>
      <c r="J66" s="7">
        <f>197489.57*1.2/1000+52969.68*1.2/1000+407523.92*1.2/1000+224330.4*1.2/1000</f>
        <v>1058.776284</v>
      </c>
    </row>
    <row r="67" spans="1:10" ht="42.75" customHeight="1" x14ac:dyDescent="0.25">
      <c r="A67" s="115" t="s">
        <v>99</v>
      </c>
      <c r="B67" s="47" t="s">
        <v>100</v>
      </c>
      <c r="C67" s="47" t="s">
        <v>101</v>
      </c>
      <c r="D67" s="5">
        <f>237492.5/1000</f>
        <v>237.49250000000001</v>
      </c>
      <c r="E67" s="49">
        <f>G67</f>
        <v>237.49250000000001</v>
      </c>
      <c r="F67" s="6" t="s">
        <v>107</v>
      </c>
      <c r="G67" s="49">
        <f>237492.5/1000</f>
        <v>237.49250000000001</v>
      </c>
      <c r="H67" s="7">
        <f>J67</f>
        <v>237.49250400000003</v>
      </c>
      <c r="I67" s="3" t="s">
        <v>118</v>
      </c>
      <c r="J67" s="7">
        <f>197910.42*1.2/1000</f>
        <v>237.49250400000003</v>
      </c>
    </row>
    <row r="68" spans="1:10" ht="50.25" customHeight="1" x14ac:dyDescent="0.25">
      <c r="A68" s="116"/>
      <c r="B68" s="47" t="s">
        <v>138</v>
      </c>
      <c r="C68" s="47" t="s">
        <v>144</v>
      </c>
      <c r="D68" s="5">
        <f>5951806.3/1000</f>
        <v>5951.8063000000002</v>
      </c>
      <c r="E68" s="49">
        <f t="shared" ref="E68:E73" si="15">+G68</f>
        <v>2382.7440000000001</v>
      </c>
      <c r="F68" s="6" t="s">
        <v>143</v>
      </c>
      <c r="G68" s="49">
        <f>2382744/1000</f>
        <v>2382.7440000000001</v>
      </c>
      <c r="H68" s="7"/>
      <c r="I68" s="3"/>
      <c r="J68" s="7"/>
    </row>
    <row r="69" spans="1:10" ht="38.25" customHeight="1" x14ac:dyDescent="0.25">
      <c r="A69" s="116"/>
      <c r="B69" s="48" t="s">
        <v>104</v>
      </c>
      <c r="C69" s="48" t="s">
        <v>105</v>
      </c>
      <c r="D69" s="5"/>
      <c r="E69" s="49">
        <f t="shared" si="15"/>
        <v>335.0138</v>
      </c>
      <c r="F69" s="6" t="s">
        <v>145</v>
      </c>
      <c r="G69" s="49">
        <f>335013.8/1000</f>
        <v>335.0138</v>
      </c>
      <c r="H69" s="7"/>
      <c r="I69" s="3"/>
      <c r="J69" s="7"/>
    </row>
    <row r="70" spans="1:10" ht="42.75" x14ac:dyDescent="0.25">
      <c r="A70" s="116"/>
      <c r="B70" s="48" t="s">
        <v>440</v>
      </c>
      <c r="C70" s="48" t="s">
        <v>441</v>
      </c>
      <c r="D70" s="5">
        <f>3068238.83*1.2/1000</f>
        <v>3681.8865959999998</v>
      </c>
      <c r="E70" s="49">
        <f t="shared" si="15"/>
        <v>2952.6563999999998</v>
      </c>
      <c r="F70" s="6" t="s">
        <v>442</v>
      </c>
      <c r="G70" s="49">
        <f>2952656.4/1000</f>
        <v>2952.6563999999998</v>
      </c>
      <c r="H70" s="7">
        <f>J70</f>
        <v>2952.6563999999998</v>
      </c>
      <c r="I70" s="3" t="s">
        <v>455</v>
      </c>
      <c r="J70" s="7">
        <f>2460547*1.2/1000</f>
        <v>2952.6563999999998</v>
      </c>
    </row>
    <row r="71" spans="1:10" x14ac:dyDescent="0.25">
      <c r="A71" s="116"/>
      <c r="B71" s="90" t="s">
        <v>224</v>
      </c>
      <c r="C71" s="91"/>
      <c r="D71" s="92"/>
      <c r="E71" s="49">
        <f t="shared" si="15"/>
        <v>17.303270000000001</v>
      </c>
      <c r="F71" s="49"/>
      <c r="G71" s="49">
        <f>17303.27/1000</f>
        <v>17.303270000000001</v>
      </c>
      <c r="H71" s="49">
        <f>J71</f>
        <v>45.057760000000002</v>
      </c>
      <c r="I71" s="49"/>
      <c r="J71" s="49">
        <f>45057.76/1000</f>
        <v>45.057760000000002</v>
      </c>
    </row>
    <row r="72" spans="1:10" x14ac:dyDescent="0.25">
      <c r="A72" s="116"/>
      <c r="B72" s="90" t="s">
        <v>359</v>
      </c>
      <c r="C72" s="91"/>
      <c r="D72" s="92"/>
      <c r="E72" s="49">
        <f t="shared" si="15"/>
        <v>42.209270970042702</v>
      </c>
      <c r="F72" s="49"/>
      <c r="G72" s="49">
        <f>42209.2709700427/1000</f>
        <v>42.209270970042702</v>
      </c>
      <c r="H72" s="49">
        <f>+J72</f>
        <v>36.409300000000002</v>
      </c>
      <c r="I72" s="49"/>
      <c r="J72" s="49">
        <f>36409.3/1000</f>
        <v>36.409300000000002</v>
      </c>
    </row>
    <row r="73" spans="1:10" x14ac:dyDescent="0.25">
      <c r="A73" s="116"/>
      <c r="B73" s="90" t="s">
        <v>408</v>
      </c>
      <c r="C73" s="91"/>
      <c r="D73" s="92"/>
      <c r="E73" s="49">
        <f t="shared" si="15"/>
        <v>36.918166278384</v>
      </c>
      <c r="F73" s="49"/>
      <c r="G73" s="49">
        <f>36918.166278384/1000</f>
        <v>36.918166278384</v>
      </c>
      <c r="H73" s="49">
        <f>+J73</f>
        <v>42.522169999999996</v>
      </c>
      <c r="I73" s="49"/>
      <c r="J73" s="49">
        <f>42522.17/1000</f>
        <v>42.522169999999996</v>
      </c>
    </row>
    <row r="74" spans="1:10" x14ac:dyDescent="0.25">
      <c r="A74" s="116"/>
      <c r="B74" s="90" t="s">
        <v>465</v>
      </c>
      <c r="C74" s="91"/>
      <c r="D74" s="92"/>
      <c r="E74" s="49">
        <f>+G74</f>
        <v>27.558522751572301</v>
      </c>
      <c r="F74" s="49"/>
      <c r="G74" s="49">
        <f>27558.5227515723/1000</f>
        <v>27.558522751572301</v>
      </c>
      <c r="H74" s="49">
        <f>+J74</f>
        <v>0</v>
      </c>
      <c r="I74" s="49"/>
      <c r="J74" s="49"/>
    </row>
    <row r="75" spans="1:10" x14ac:dyDescent="0.25">
      <c r="A75" s="116"/>
      <c r="B75" s="90" t="s">
        <v>259</v>
      </c>
      <c r="C75" s="91"/>
      <c r="D75" s="92"/>
      <c r="E75" s="49">
        <f t="shared" ref="E75:E78" si="16">G75</f>
        <v>218.44031583608512</v>
      </c>
      <c r="F75" s="49"/>
      <c r="G75" s="49">
        <f>J75</f>
        <v>218.44031583608512</v>
      </c>
      <c r="H75" s="49">
        <f t="shared" ref="H75:H80" si="17">J75</f>
        <v>218.44031583608512</v>
      </c>
      <c r="I75" s="49"/>
      <c r="J75" s="49">
        <f>210435.13/1000+8005.18583608511/1000</f>
        <v>218.44031583608512</v>
      </c>
    </row>
    <row r="76" spans="1:10" x14ac:dyDescent="0.25">
      <c r="A76" s="116"/>
      <c r="B76" s="90" t="s">
        <v>360</v>
      </c>
      <c r="C76" s="91"/>
      <c r="D76" s="92"/>
      <c r="E76" s="49">
        <f t="shared" si="16"/>
        <v>223.51494565069879</v>
      </c>
      <c r="F76" s="49"/>
      <c r="G76" s="49">
        <f>J76</f>
        <v>223.51494565069879</v>
      </c>
      <c r="H76" s="49">
        <f t="shared" si="17"/>
        <v>223.51494565069879</v>
      </c>
      <c r="I76" s="49"/>
      <c r="J76" s="49">
        <f>208070.22/1000+15444.7256506988/1000</f>
        <v>223.51494565069879</v>
      </c>
    </row>
    <row r="77" spans="1:10" x14ac:dyDescent="0.25">
      <c r="A77" s="116"/>
      <c r="B77" s="90" t="s">
        <v>409</v>
      </c>
      <c r="C77" s="91"/>
      <c r="D77" s="92"/>
      <c r="E77" s="49">
        <f t="shared" si="16"/>
        <v>-8.8905403491013502</v>
      </c>
      <c r="F77" s="49"/>
      <c r="G77" s="49">
        <f>J77</f>
        <v>-8.8905403491013502</v>
      </c>
      <c r="H77" s="49">
        <f t="shared" si="17"/>
        <v>-8.8905403491013502</v>
      </c>
      <c r="I77" s="49"/>
      <c r="J77" s="49">
        <f>-8350.2/1000-540.340349101349/1000</f>
        <v>-8.8905403491013502</v>
      </c>
    </row>
    <row r="78" spans="1:10" x14ac:dyDescent="0.25">
      <c r="A78" s="117"/>
      <c r="B78" s="90" t="s">
        <v>452</v>
      </c>
      <c r="C78" s="91"/>
      <c r="D78" s="92"/>
      <c r="E78" s="49">
        <f t="shared" si="16"/>
        <v>20.367041576730809</v>
      </c>
      <c r="F78" s="49"/>
      <c r="G78" s="49">
        <f>J78</f>
        <v>20.367041576730809</v>
      </c>
      <c r="H78" s="49">
        <f t="shared" si="17"/>
        <v>20.367041576730809</v>
      </c>
      <c r="I78" s="49"/>
      <c r="J78" s="49">
        <f>19217.04/1000+1150.00157673081/1000</f>
        <v>20.367041576730809</v>
      </c>
    </row>
    <row r="79" spans="1:10" ht="42.75" x14ac:dyDescent="0.25">
      <c r="A79" s="88" t="s">
        <v>188</v>
      </c>
      <c r="B79" s="93" t="s">
        <v>189</v>
      </c>
      <c r="C79" s="93" t="s">
        <v>190</v>
      </c>
      <c r="D79" s="126">
        <v>133.19999999999999</v>
      </c>
      <c r="E79" s="49">
        <f>+G79</f>
        <v>96.943789999999993</v>
      </c>
      <c r="F79" s="6" t="s">
        <v>191</v>
      </c>
      <c r="G79" s="49">
        <f>96943.79/1000</f>
        <v>96.943789999999993</v>
      </c>
      <c r="H79" s="7">
        <f t="shared" si="17"/>
        <v>96.943787999999998</v>
      </c>
      <c r="I79" s="3" t="s">
        <v>302</v>
      </c>
      <c r="J79" s="7">
        <f>80786.49*1.2/1000</f>
        <v>96.943787999999998</v>
      </c>
    </row>
    <row r="80" spans="1:10" ht="28.5" x14ac:dyDescent="0.25">
      <c r="A80" s="88"/>
      <c r="B80" s="99"/>
      <c r="C80" s="99"/>
      <c r="D80" s="127"/>
      <c r="E80" s="49">
        <f>+G80</f>
        <v>36.256129999999999</v>
      </c>
      <c r="F80" s="6" t="s">
        <v>192</v>
      </c>
      <c r="G80" s="49">
        <f>36256.13/1000</f>
        <v>36.256129999999999</v>
      </c>
      <c r="H80" s="7">
        <f t="shared" si="17"/>
        <v>36.256127999999997</v>
      </c>
      <c r="I80" s="3" t="s">
        <v>456</v>
      </c>
      <c r="J80" s="7">
        <f>30213.44*1.2/1000</f>
        <v>36.256127999999997</v>
      </c>
    </row>
    <row r="81" spans="1:10" ht="28.5" x14ac:dyDescent="0.25">
      <c r="A81" s="88"/>
      <c r="B81" s="99"/>
      <c r="C81" s="99"/>
      <c r="D81" s="127"/>
      <c r="E81" s="49">
        <f>G81</f>
        <v>96.943789999999993</v>
      </c>
      <c r="F81" s="6" t="s">
        <v>242</v>
      </c>
      <c r="G81" s="49">
        <f>96943.79/1000</f>
        <v>96.943789999999993</v>
      </c>
      <c r="H81" s="7"/>
      <c r="I81" s="3"/>
      <c r="J81" s="7"/>
    </row>
    <row r="82" spans="1:10" ht="28.5" x14ac:dyDescent="0.25">
      <c r="A82" s="88"/>
      <c r="B82" s="94"/>
      <c r="C82" s="94"/>
      <c r="D82" s="128"/>
      <c r="E82" s="49">
        <f>G82</f>
        <v>36.256129999999999</v>
      </c>
      <c r="F82" s="6" t="s">
        <v>243</v>
      </c>
      <c r="G82" s="49">
        <f>36256.13/1000</f>
        <v>36.256129999999999</v>
      </c>
      <c r="H82" s="7"/>
      <c r="I82" s="3"/>
      <c r="J82" s="7"/>
    </row>
    <row r="83" spans="1:10" ht="57" x14ac:dyDescent="0.25">
      <c r="A83" s="88"/>
      <c r="B83" s="42" t="s">
        <v>189</v>
      </c>
      <c r="C83" s="42" t="s">
        <v>322</v>
      </c>
      <c r="D83" s="52">
        <f>96943.79/1000</f>
        <v>96.943789999999993</v>
      </c>
      <c r="E83" s="49"/>
      <c r="F83" s="6"/>
      <c r="G83" s="49"/>
      <c r="H83" s="7">
        <f t="shared" ref="H83:H89" si="18">J83</f>
        <v>96.943787999999998</v>
      </c>
      <c r="I83" s="3" t="s">
        <v>324</v>
      </c>
      <c r="J83" s="7">
        <f>80786.49*1.2/1000</f>
        <v>96.943787999999998</v>
      </c>
    </row>
    <row r="84" spans="1:10" ht="42.75" x14ac:dyDescent="0.25">
      <c r="A84" s="88"/>
      <c r="B84" s="41" t="s">
        <v>326</v>
      </c>
      <c r="C84" s="41" t="s">
        <v>327</v>
      </c>
      <c r="D84" s="51">
        <v>1147.0734399999999</v>
      </c>
      <c r="E84" s="49">
        <f>G84</f>
        <v>102.11451</v>
      </c>
      <c r="F84" s="6" t="s">
        <v>407</v>
      </c>
      <c r="G84" s="49">
        <f>102114.51/1000</f>
        <v>102.11451</v>
      </c>
      <c r="H84" s="7">
        <f t="shared" si="18"/>
        <v>102.114504</v>
      </c>
      <c r="I84" s="3" t="s">
        <v>328</v>
      </c>
      <c r="J84" s="7">
        <f>85095.42*1.2/1000</f>
        <v>102.114504</v>
      </c>
    </row>
    <row r="85" spans="1:10" x14ac:dyDescent="0.25">
      <c r="A85" s="88"/>
      <c r="B85" s="90" t="s">
        <v>259</v>
      </c>
      <c r="C85" s="91"/>
      <c r="D85" s="92"/>
      <c r="E85" s="49">
        <f t="shared" ref="E85:E88" si="19">G85</f>
        <v>8.9247556672726205</v>
      </c>
      <c r="F85" s="49"/>
      <c r="G85" s="49">
        <f>J85</f>
        <v>8.9247556672726205</v>
      </c>
      <c r="H85" s="49">
        <f t="shared" si="18"/>
        <v>8.9247556672726205</v>
      </c>
      <c r="I85" s="49"/>
      <c r="J85" s="49">
        <f>8597.69/1000+327.06566727262/1000</f>
        <v>8.9247556672726205</v>
      </c>
    </row>
    <row r="86" spans="1:10" x14ac:dyDescent="0.25">
      <c r="A86" s="88"/>
      <c r="B86" s="90" t="s">
        <v>360</v>
      </c>
      <c r="C86" s="91"/>
      <c r="D86" s="92"/>
      <c r="E86" s="49">
        <f t="shared" si="19"/>
        <v>8.3664455041173458</v>
      </c>
      <c r="F86" s="49"/>
      <c r="G86" s="49">
        <f>J86</f>
        <v>8.3664455041173458</v>
      </c>
      <c r="H86" s="49">
        <f t="shared" si="18"/>
        <v>8.3664455041173458</v>
      </c>
      <c r="I86" s="49"/>
      <c r="J86" s="49">
        <f>7788.33/1000+578.115504117346/1000</f>
        <v>8.3664455041173458</v>
      </c>
    </row>
    <row r="87" spans="1:10" x14ac:dyDescent="0.25">
      <c r="A87" s="88"/>
      <c r="B87" s="90" t="s">
        <v>409</v>
      </c>
      <c r="C87" s="91"/>
      <c r="D87" s="92"/>
      <c r="E87" s="49">
        <f t="shared" si="19"/>
        <v>7.5549363479848246</v>
      </c>
      <c r="F87" s="49"/>
      <c r="G87" s="49">
        <f>J87</f>
        <v>7.5549363479848246</v>
      </c>
      <c r="H87" s="49">
        <f t="shared" si="18"/>
        <v>7.5549363479848246</v>
      </c>
      <c r="I87" s="49"/>
      <c r="J87" s="49">
        <f>7095.77/1000+459.166347984824/1000</f>
        <v>7.5549363479848246</v>
      </c>
    </row>
    <row r="88" spans="1:10" x14ac:dyDescent="0.25">
      <c r="A88" s="88"/>
      <c r="B88" s="90" t="s">
        <v>452</v>
      </c>
      <c r="C88" s="91"/>
      <c r="D88" s="92"/>
      <c r="E88" s="49">
        <f t="shared" si="19"/>
        <v>6.007793128942283</v>
      </c>
      <c r="F88" s="49"/>
      <c r="G88" s="49">
        <f>J88</f>
        <v>6.007793128942283</v>
      </c>
      <c r="H88" s="49">
        <f t="shared" si="18"/>
        <v>6.007793128942283</v>
      </c>
      <c r="I88" s="49"/>
      <c r="J88" s="49">
        <f>5668.57/1000+339.223128942283/1000</f>
        <v>6.007793128942283</v>
      </c>
    </row>
    <row r="89" spans="1:10" ht="78" customHeight="1" x14ac:dyDescent="0.25">
      <c r="A89" s="43" t="s">
        <v>457</v>
      </c>
      <c r="B89" s="48" t="s">
        <v>458</v>
      </c>
      <c r="C89" s="48" t="s">
        <v>459</v>
      </c>
      <c r="D89" s="48">
        <v>1259.6451999999999</v>
      </c>
      <c r="E89" s="49"/>
      <c r="F89" s="49"/>
      <c r="G89" s="49"/>
      <c r="H89" s="49">
        <f t="shared" si="18"/>
        <v>983.58819599999993</v>
      </c>
      <c r="I89" s="6" t="s">
        <v>460</v>
      </c>
      <c r="J89" s="49">
        <f>819656.83*1.2/1000</f>
        <v>983.58819599999993</v>
      </c>
    </row>
    <row r="90" spans="1:10" x14ac:dyDescent="0.25">
      <c r="A90" s="115" t="s">
        <v>45</v>
      </c>
      <c r="B90" s="90" t="s">
        <v>22</v>
      </c>
      <c r="C90" s="91"/>
      <c r="D90" s="92"/>
      <c r="E90" s="49">
        <f t="shared" ref="E90:E182" si="20">G90</f>
        <v>10.175792975970401</v>
      </c>
      <c r="F90" s="49"/>
      <c r="G90" s="49">
        <v>10.175792975970401</v>
      </c>
      <c r="H90" s="49">
        <f t="shared" ref="H90:H192" si="21">J90</f>
        <v>44.797719999999998</v>
      </c>
      <c r="I90" s="49"/>
      <c r="J90" s="49">
        <v>44.797719999999998</v>
      </c>
    </row>
    <row r="91" spans="1:10" x14ac:dyDescent="0.25">
      <c r="A91" s="116"/>
      <c r="B91" s="90" t="s">
        <v>27</v>
      </c>
      <c r="C91" s="91"/>
      <c r="D91" s="92"/>
      <c r="E91" s="49">
        <f t="shared" si="20"/>
        <v>34.621927024029603</v>
      </c>
      <c r="F91" s="49"/>
      <c r="G91" s="49">
        <v>34.621927024029603</v>
      </c>
      <c r="H91" s="49"/>
      <c r="I91" s="49"/>
      <c r="J91" s="49"/>
    </row>
    <row r="92" spans="1:10" x14ac:dyDescent="0.25">
      <c r="A92" s="116"/>
      <c r="B92" s="90" t="s">
        <v>224</v>
      </c>
      <c r="C92" s="91"/>
      <c r="D92" s="92"/>
      <c r="E92" s="49">
        <f t="shared" si="20"/>
        <v>8.8753449999999994</v>
      </c>
      <c r="F92" s="49"/>
      <c r="G92" s="49">
        <f>8875.345/1000</f>
        <v>8.8753449999999994</v>
      </c>
      <c r="H92" s="49">
        <f>J92</f>
        <v>23.11138</v>
      </c>
      <c r="I92" s="49"/>
      <c r="J92" s="49">
        <f>23111.38/1000</f>
        <v>23.11138</v>
      </c>
    </row>
    <row r="93" spans="1:10" x14ac:dyDescent="0.25">
      <c r="A93" s="116"/>
      <c r="B93" s="90" t="s">
        <v>359</v>
      </c>
      <c r="C93" s="91"/>
      <c r="D93" s="92"/>
      <c r="E93" s="49">
        <f>+G93</f>
        <v>21.912168552068497</v>
      </c>
      <c r="F93" s="49"/>
      <c r="G93" s="49">
        <f>21912.1685520685/1000</f>
        <v>21.912168552068497</v>
      </c>
      <c r="H93" s="49">
        <f>+J93</f>
        <v>19.314889999999998</v>
      </c>
      <c r="I93" s="49"/>
      <c r="J93" s="49">
        <f>19314.89/1000</f>
        <v>19.314889999999998</v>
      </c>
    </row>
    <row r="94" spans="1:10" x14ac:dyDescent="0.25">
      <c r="A94" s="116"/>
      <c r="B94" s="90" t="s">
        <v>408</v>
      </c>
      <c r="C94" s="91"/>
      <c r="D94" s="92"/>
      <c r="E94" s="49">
        <f>+G94</f>
        <v>20.2654774856674</v>
      </c>
      <c r="F94" s="49"/>
      <c r="G94" s="49">
        <f>20265.4774856674/1000</f>
        <v>20.2654774856674</v>
      </c>
      <c r="H94" s="49">
        <f>+J94</f>
        <v>24.56326</v>
      </c>
      <c r="I94" s="49"/>
      <c r="J94" s="49">
        <f>24563.26/1000</f>
        <v>24.56326</v>
      </c>
    </row>
    <row r="95" spans="1:10" x14ac:dyDescent="0.25">
      <c r="A95" s="116"/>
      <c r="B95" s="90" t="s">
        <v>465</v>
      </c>
      <c r="C95" s="91"/>
      <c r="D95" s="92"/>
      <c r="E95" s="49">
        <f>+G95</f>
        <v>32.908098962264198</v>
      </c>
      <c r="F95" s="49"/>
      <c r="G95" s="49">
        <f>32908.0989622642/1000</f>
        <v>32.908098962264198</v>
      </c>
      <c r="H95" s="49">
        <f>+J95</f>
        <v>21.49098</v>
      </c>
      <c r="I95" s="49"/>
      <c r="J95" s="49">
        <f>21490.98/1000</f>
        <v>21.49098</v>
      </c>
    </row>
    <row r="96" spans="1:10" x14ac:dyDescent="0.25">
      <c r="A96" s="116"/>
      <c r="B96" s="90" t="s">
        <v>259</v>
      </c>
      <c r="C96" s="91"/>
      <c r="D96" s="92"/>
      <c r="E96" s="49">
        <f t="shared" si="20"/>
        <v>54.60042258159956</v>
      </c>
      <c r="F96" s="49"/>
      <c r="G96" s="49">
        <f>J96</f>
        <v>54.60042258159956</v>
      </c>
      <c r="H96" s="49">
        <f t="shared" ref="H96:H102" si="22">J96</f>
        <v>54.60042258159956</v>
      </c>
      <c r="I96" s="49"/>
      <c r="J96" s="49">
        <f>52599.48/1000+2000.94258159956/1000</f>
        <v>54.60042258159956</v>
      </c>
    </row>
    <row r="97" spans="1:10" x14ac:dyDescent="0.25">
      <c r="A97" s="116"/>
      <c r="B97" s="90" t="s">
        <v>360</v>
      </c>
      <c r="C97" s="91"/>
      <c r="D97" s="92"/>
      <c r="E97" s="49">
        <f t="shared" si="20"/>
        <v>51.184761011538804</v>
      </c>
      <c r="F97" s="49"/>
      <c r="G97" s="49">
        <f>J97</f>
        <v>51.184761011538804</v>
      </c>
      <c r="H97" s="49">
        <f t="shared" si="22"/>
        <v>51.184761011538804</v>
      </c>
      <c r="I97" s="49"/>
      <c r="J97" s="49">
        <f>47647.93/1000+3536.8310115388/1000</f>
        <v>51.184761011538804</v>
      </c>
    </row>
    <row r="98" spans="1:10" x14ac:dyDescent="0.25">
      <c r="A98" s="116"/>
      <c r="B98" s="90" t="s">
        <v>409</v>
      </c>
      <c r="C98" s="91"/>
      <c r="D98" s="92"/>
      <c r="E98" s="49">
        <f t="shared" si="20"/>
        <v>46.219949774662012</v>
      </c>
      <c r="F98" s="49"/>
      <c r="G98" s="49">
        <f>J98</f>
        <v>46.219949774662012</v>
      </c>
      <c r="H98" s="49">
        <f t="shared" si="22"/>
        <v>46.219949774662012</v>
      </c>
      <c r="I98" s="49"/>
      <c r="J98" s="49">
        <f>43410.84/1000+2809.10977466202/1000</f>
        <v>46.219949774662012</v>
      </c>
    </row>
    <row r="99" spans="1:10" x14ac:dyDescent="0.25">
      <c r="A99" s="117"/>
      <c r="B99" s="90" t="s">
        <v>452</v>
      </c>
      <c r="C99" s="91"/>
      <c r="D99" s="92"/>
      <c r="E99" s="49">
        <f t="shared" si="20"/>
        <v>39.193792408149434</v>
      </c>
      <c r="F99" s="49"/>
      <c r="G99" s="49">
        <f>J99</f>
        <v>39.193792408149434</v>
      </c>
      <c r="H99" s="49">
        <f t="shared" si="22"/>
        <v>39.193792408149434</v>
      </c>
      <c r="I99" s="49"/>
      <c r="J99" s="49">
        <f>36980.76/1000+2213.03240814943/1000</f>
        <v>39.193792408149434</v>
      </c>
    </row>
    <row r="100" spans="1:10" ht="28.5" x14ac:dyDescent="0.25">
      <c r="A100" s="115" t="s">
        <v>46</v>
      </c>
      <c r="B100" s="89" t="s">
        <v>205</v>
      </c>
      <c r="C100" s="89" t="s">
        <v>461</v>
      </c>
      <c r="D100" s="129">
        <v>5457.9815799999997</v>
      </c>
      <c r="E100" s="49"/>
      <c r="F100" s="49"/>
      <c r="G100" s="49"/>
      <c r="H100" s="49">
        <f t="shared" si="22"/>
        <v>358.83528000000001</v>
      </c>
      <c r="I100" s="6" t="s">
        <v>462</v>
      </c>
      <c r="J100" s="49">
        <f>299029.4*1.2/1000</f>
        <v>358.83528000000001</v>
      </c>
    </row>
    <row r="101" spans="1:10" ht="28.5" x14ac:dyDescent="0.25">
      <c r="A101" s="116"/>
      <c r="B101" s="89"/>
      <c r="C101" s="89"/>
      <c r="D101" s="129"/>
      <c r="E101" s="49"/>
      <c r="F101" s="49"/>
      <c r="G101" s="49"/>
      <c r="H101" s="49">
        <f t="shared" si="22"/>
        <v>150.06104399999998</v>
      </c>
      <c r="I101" s="6" t="s">
        <v>463</v>
      </c>
      <c r="J101" s="49">
        <f>125050.87*1.2/1000</f>
        <v>150.06104399999998</v>
      </c>
    </row>
    <row r="102" spans="1:10" ht="28.5" x14ac:dyDescent="0.25">
      <c r="A102" s="116"/>
      <c r="B102" s="89"/>
      <c r="C102" s="89"/>
      <c r="D102" s="129"/>
      <c r="E102" s="49"/>
      <c r="F102" s="49"/>
      <c r="G102" s="49"/>
      <c r="H102" s="49">
        <f t="shared" si="22"/>
        <v>377.73480000000001</v>
      </c>
      <c r="I102" s="6" t="s">
        <v>464</v>
      </c>
      <c r="J102" s="49">
        <f>314779*1.2/1000</f>
        <v>377.73480000000001</v>
      </c>
    </row>
    <row r="103" spans="1:10" x14ac:dyDescent="0.25">
      <c r="A103" s="116"/>
      <c r="B103" s="90" t="s">
        <v>22</v>
      </c>
      <c r="C103" s="91"/>
      <c r="D103" s="92"/>
      <c r="E103" s="49">
        <f t="shared" si="20"/>
        <v>10.068495378927901</v>
      </c>
      <c r="F103" s="49"/>
      <c r="G103" s="49">
        <v>10.068495378927901</v>
      </c>
      <c r="H103" s="49">
        <f t="shared" si="21"/>
        <v>44.325309999999995</v>
      </c>
      <c r="I103" s="49"/>
      <c r="J103" s="49">
        <v>44.325309999999995</v>
      </c>
    </row>
    <row r="104" spans="1:10" x14ac:dyDescent="0.25">
      <c r="A104" s="116"/>
      <c r="B104" s="90" t="s">
        <v>27</v>
      </c>
      <c r="C104" s="91"/>
      <c r="D104" s="92"/>
      <c r="E104" s="49">
        <f t="shared" si="20"/>
        <v>70.798010008222008</v>
      </c>
      <c r="F104" s="49"/>
      <c r="G104" s="49">
        <v>70.798010008222008</v>
      </c>
      <c r="H104" s="49">
        <f t="shared" si="21"/>
        <v>90.246870000000001</v>
      </c>
      <c r="I104" s="49"/>
      <c r="J104" s="49">
        <v>90.246870000000001</v>
      </c>
    </row>
    <row r="105" spans="1:10" x14ac:dyDescent="0.25">
      <c r="A105" s="116"/>
      <c r="B105" s="90" t="s">
        <v>28</v>
      </c>
      <c r="C105" s="91"/>
      <c r="D105" s="92"/>
      <c r="E105" s="49">
        <f t="shared" si="20"/>
        <v>74.430999999999997</v>
      </c>
      <c r="F105" s="49"/>
      <c r="G105" s="49">
        <v>74.430999999999997</v>
      </c>
      <c r="H105" s="49">
        <f t="shared" si="21"/>
        <v>63.277610000000003</v>
      </c>
      <c r="I105" s="49"/>
      <c r="J105" s="49">
        <v>63.277610000000003</v>
      </c>
    </row>
    <row r="106" spans="1:10" x14ac:dyDescent="0.25">
      <c r="A106" s="116"/>
      <c r="B106" s="90" t="s">
        <v>207</v>
      </c>
      <c r="C106" s="91"/>
      <c r="D106" s="92"/>
      <c r="E106" s="49">
        <f t="shared" ref="E106:E111" si="23">+G106</f>
        <v>48.386751698138099</v>
      </c>
      <c r="F106" s="49"/>
      <c r="G106" s="49">
        <f>48386.7516981381/1000</f>
        <v>48.386751698138099</v>
      </c>
      <c r="H106" s="49">
        <f>+J106</f>
        <v>15.04283</v>
      </c>
      <c r="I106" s="49"/>
      <c r="J106" s="49">
        <f>15042.83/1000</f>
        <v>15.04283</v>
      </c>
    </row>
    <row r="107" spans="1:10" x14ac:dyDescent="0.25">
      <c r="A107" s="116"/>
      <c r="B107" s="90" t="s">
        <v>167</v>
      </c>
      <c r="C107" s="91"/>
      <c r="D107" s="92"/>
      <c r="E107" s="49">
        <f t="shared" si="23"/>
        <v>15.430785696805501</v>
      </c>
      <c r="F107" s="49"/>
      <c r="G107" s="49">
        <f>15430.7856968055/1000</f>
        <v>15.430785696805501</v>
      </c>
      <c r="H107" s="49">
        <f>+J107</f>
        <v>20.049379999999999</v>
      </c>
      <c r="I107" s="49"/>
      <c r="J107" s="49">
        <f>20049.38/1000</f>
        <v>20.049379999999999</v>
      </c>
    </row>
    <row r="108" spans="1:10" x14ac:dyDescent="0.25">
      <c r="A108" s="116"/>
      <c r="B108" s="90" t="s">
        <v>146</v>
      </c>
      <c r="C108" s="91"/>
      <c r="D108" s="92"/>
      <c r="E108" s="49">
        <f t="shared" si="23"/>
        <v>21.792538763296498</v>
      </c>
      <c r="F108" s="49"/>
      <c r="G108" s="49">
        <f>21792.5387632965/1000</f>
        <v>21.792538763296498</v>
      </c>
      <c r="H108" s="49">
        <f>+J108</f>
        <v>21.776859999999999</v>
      </c>
      <c r="I108" s="49"/>
      <c r="J108" s="49">
        <f>21776.86/1000</f>
        <v>21.776859999999999</v>
      </c>
    </row>
    <row r="109" spans="1:10" x14ac:dyDescent="0.25">
      <c r="A109" s="116"/>
      <c r="B109" s="90" t="s">
        <v>222</v>
      </c>
      <c r="C109" s="91"/>
      <c r="D109" s="92"/>
      <c r="E109" s="49">
        <f t="shared" si="23"/>
        <v>13.811054495549</v>
      </c>
      <c r="F109" s="49"/>
      <c r="G109" s="49">
        <f>13811.054495549/1000</f>
        <v>13.811054495549</v>
      </c>
      <c r="H109" s="49">
        <f>+J109</f>
        <v>0</v>
      </c>
      <c r="I109" s="49"/>
      <c r="J109" s="49"/>
    </row>
    <row r="110" spans="1:10" x14ac:dyDescent="0.25">
      <c r="A110" s="116"/>
      <c r="B110" s="90" t="s">
        <v>224</v>
      </c>
      <c r="C110" s="91"/>
      <c r="D110" s="92"/>
      <c r="E110" s="49">
        <f t="shared" si="23"/>
        <v>4.587135</v>
      </c>
      <c r="F110" s="49"/>
      <c r="G110" s="49">
        <f>4587.135/1000</f>
        <v>4.587135</v>
      </c>
      <c r="H110" s="49">
        <f>J110</f>
        <v>11.94497</v>
      </c>
      <c r="I110" s="49"/>
      <c r="J110" s="49">
        <f>11944.97/1000</f>
        <v>11.94497</v>
      </c>
    </row>
    <row r="111" spans="1:10" x14ac:dyDescent="0.25">
      <c r="A111" s="116"/>
      <c r="B111" s="90" t="s">
        <v>359</v>
      </c>
      <c r="C111" s="91"/>
      <c r="D111" s="92"/>
      <c r="E111" s="49">
        <f t="shared" si="23"/>
        <v>14.4283444293866</v>
      </c>
      <c r="F111" s="49"/>
      <c r="G111" s="49">
        <f>14428.3444293866/1000</f>
        <v>14.4283444293866</v>
      </c>
      <c r="H111" s="49">
        <f>+J111</f>
        <v>17.75318</v>
      </c>
      <c r="I111" s="49"/>
      <c r="J111" s="49">
        <f>17753.18/1000</f>
        <v>17.75318</v>
      </c>
    </row>
    <row r="112" spans="1:10" x14ac:dyDescent="0.25">
      <c r="A112" s="116"/>
      <c r="B112" s="90" t="s">
        <v>408</v>
      </c>
      <c r="C112" s="91"/>
      <c r="D112" s="92"/>
      <c r="E112" s="49">
        <f>+G112</f>
        <v>17.880708825330398</v>
      </c>
      <c r="F112" s="49"/>
      <c r="G112" s="49">
        <f>17880.7088253304/1000</f>
        <v>17.880708825330398</v>
      </c>
      <c r="H112" s="49">
        <f>+J112</f>
        <v>20.397659999999998</v>
      </c>
      <c r="I112" s="49"/>
      <c r="J112" s="49">
        <f>20397.66/1000</f>
        <v>20.397659999999998</v>
      </c>
    </row>
    <row r="113" spans="1:10" x14ac:dyDescent="0.25">
      <c r="A113" s="116"/>
      <c r="B113" s="90" t="s">
        <v>465</v>
      </c>
      <c r="C113" s="91"/>
      <c r="D113" s="92"/>
      <c r="E113" s="49">
        <f>+G113</f>
        <v>27.418211745282999</v>
      </c>
      <c r="F113" s="49"/>
      <c r="G113" s="49">
        <f>27418.211745283/1000</f>
        <v>27.418211745282999</v>
      </c>
      <c r="H113" s="49">
        <f>+J113</f>
        <v>17.919409999999999</v>
      </c>
      <c r="I113" s="49"/>
      <c r="J113" s="49">
        <f>17919.41/1000</f>
        <v>17.919409999999999</v>
      </c>
    </row>
    <row r="114" spans="1:10" x14ac:dyDescent="0.25">
      <c r="A114" s="116"/>
      <c r="B114" s="90" t="s">
        <v>259</v>
      </c>
      <c r="C114" s="91"/>
      <c r="D114" s="92"/>
      <c r="E114" s="49">
        <f t="shared" ref="E114:E117" si="24">G114</f>
        <v>430.5769609477756</v>
      </c>
      <c r="F114" s="49"/>
      <c r="G114" s="49">
        <f>J114</f>
        <v>430.5769609477756</v>
      </c>
      <c r="H114" s="49">
        <f>J114</f>
        <v>430.5769609477756</v>
      </c>
      <c r="I114" s="49"/>
      <c r="J114" s="49">
        <f>414797.6/1000+15779.3609477756/1000</f>
        <v>430.5769609477756</v>
      </c>
    </row>
    <row r="115" spans="1:10" x14ac:dyDescent="0.25">
      <c r="A115" s="116"/>
      <c r="B115" s="90" t="s">
        <v>360</v>
      </c>
      <c r="C115" s="91"/>
      <c r="D115" s="92"/>
      <c r="E115" s="49">
        <f t="shared" si="24"/>
        <v>403.64117124021027</v>
      </c>
      <c r="F115" s="49"/>
      <c r="G115" s="49">
        <f>J115</f>
        <v>403.64117124021027</v>
      </c>
      <c r="H115" s="49">
        <f>J115</f>
        <v>403.64117124021027</v>
      </c>
      <c r="I115" s="49"/>
      <c r="J115" s="49">
        <f>375749.85/1000+27891.3212402103/1000</f>
        <v>403.64117124021027</v>
      </c>
    </row>
    <row r="116" spans="1:10" x14ac:dyDescent="0.25">
      <c r="A116" s="116"/>
      <c r="B116" s="90" t="s">
        <v>409</v>
      </c>
      <c r="C116" s="91"/>
      <c r="D116" s="92"/>
      <c r="E116" s="49">
        <f t="shared" si="24"/>
        <v>364.48898622640331</v>
      </c>
      <c r="F116" s="49"/>
      <c r="G116" s="49">
        <f>J116</f>
        <v>364.48898622640331</v>
      </c>
      <c r="H116" s="49">
        <f>J116</f>
        <v>364.48898622640331</v>
      </c>
      <c r="I116" s="49"/>
      <c r="J116" s="49">
        <f>342336.44/1000+22152.5462264033/1000</f>
        <v>364.48898622640331</v>
      </c>
    </row>
    <row r="117" spans="1:10" x14ac:dyDescent="0.25">
      <c r="A117" s="117"/>
      <c r="B117" s="90" t="s">
        <v>452</v>
      </c>
      <c r="C117" s="91"/>
      <c r="D117" s="92"/>
      <c r="E117" s="49">
        <f t="shared" si="24"/>
        <v>303.21658575922606</v>
      </c>
      <c r="F117" s="49"/>
      <c r="G117" s="49">
        <f>J117</f>
        <v>303.21658575922606</v>
      </c>
      <c r="H117" s="49">
        <f>J117</f>
        <v>303.21658575922606</v>
      </c>
      <c r="I117" s="49"/>
      <c r="J117" s="49">
        <f>286095.81/1000+17120.7757592261/1000</f>
        <v>303.21658575922606</v>
      </c>
    </row>
    <row r="118" spans="1:10" x14ac:dyDescent="0.25">
      <c r="A118" s="115" t="s">
        <v>47</v>
      </c>
      <c r="B118" s="89" t="s">
        <v>22</v>
      </c>
      <c r="C118" s="89"/>
      <c r="D118" s="89"/>
      <c r="E118" s="49">
        <f t="shared" si="20"/>
        <v>1.69219075785582</v>
      </c>
      <c r="F118" s="49"/>
      <c r="G118" s="49">
        <v>1.69219075785582</v>
      </c>
      <c r="H118" s="49">
        <f t="shared" si="21"/>
        <v>7.4496399999999996</v>
      </c>
      <c r="I118" s="49"/>
      <c r="J118" s="49">
        <v>7.4496399999999996</v>
      </c>
    </row>
    <row r="119" spans="1:10" x14ac:dyDescent="0.25">
      <c r="A119" s="116"/>
      <c r="B119" s="89" t="s">
        <v>27</v>
      </c>
      <c r="C119" s="89"/>
      <c r="D119" s="89"/>
      <c r="E119" s="49">
        <f t="shared" si="20"/>
        <v>8.3425578747636102</v>
      </c>
      <c r="F119" s="49"/>
      <c r="G119" s="49">
        <v>8.3425578747636102</v>
      </c>
      <c r="H119" s="49">
        <f t="shared" si="21"/>
        <v>6.3844899999999996</v>
      </c>
      <c r="I119" s="49"/>
      <c r="J119" s="49">
        <v>6.3844899999999996</v>
      </c>
    </row>
    <row r="120" spans="1:10" x14ac:dyDescent="0.25">
      <c r="A120" s="116"/>
      <c r="B120" s="89" t="s">
        <v>28</v>
      </c>
      <c r="C120" s="89"/>
      <c r="D120" s="89"/>
      <c r="E120" s="49">
        <f t="shared" si="20"/>
        <v>8.10798353677135</v>
      </c>
      <c r="F120" s="49"/>
      <c r="G120" s="49">
        <v>8.10798353677135</v>
      </c>
      <c r="H120" s="49">
        <f t="shared" si="21"/>
        <v>13.154620000000001</v>
      </c>
      <c r="I120" s="49"/>
      <c r="J120" s="49">
        <v>13.154620000000001</v>
      </c>
    </row>
    <row r="121" spans="1:10" x14ac:dyDescent="0.25">
      <c r="A121" s="116"/>
      <c r="B121" s="89" t="s">
        <v>207</v>
      </c>
      <c r="C121" s="89"/>
      <c r="D121" s="89"/>
      <c r="E121" s="49">
        <f t="shared" ref="E121:E126" si="25">+G121</f>
        <v>13.709443567376001</v>
      </c>
      <c r="F121" s="49"/>
      <c r="G121" s="49">
        <f>13709.443567376/1000</f>
        <v>13.709443567376001</v>
      </c>
      <c r="H121" s="49">
        <f>+J121</f>
        <v>12.5387</v>
      </c>
      <c r="I121" s="49"/>
      <c r="J121" s="49">
        <f>12538.7/1000</f>
        <v>12.5387</v>
      </c>
    </row>
    <row r="122" spans="1:10" x14ac:dyDescent="0.25">
      <c r="A122" s="116"/>
      <c r="B122" s="89" t="s">
        <v>167</v>
      </c>
      <c r="C122" s="89"/>
      <c r="D122" s="89"/>
      <c r="E122" s="49">
        <f t="shared" si="25"/>
        <v>7.6753342632331893</v>
      </c>
      <c r="F122" s="49"/>
      <c r="G122" s="49">
        <f>7675.33426323319/1000</f>
        <v>7.6753342632331893</v>
      </c>
      <c r="H122" s="24"/>
      <c r="I122" s="24"/>
      <c r="J122" s="24"/>
    </row>
    <row r="123" spans="1:10" x14ac:dyDescent="0.25">
      <c r="A123" s="116"/>
      <c r="B123" s="89" t="s">
        <v>224</v>
      </c>
      <c r="C123" s="89"/>
      <c r="D123" s="89"/>
      <c r="E123" s="49">
        <f t="shared" si="25"/>
        <v>4.6497099999999998</v>
      </c>
      <c r="F123" s="49"/>
      <c r="G123" s="49">
        <f>4649.71/1000</f>
        <v>4.6497099999999998</v>
      </c>
      <c r="H123" s="49">
        <f>J123</f>
        <v>12.10783</v>
      </c>
      <c r="I123" s="49"/>
      <c r="J123" s="49">
        <f>12107.83/1000</f>
        <v>12.10783</v>
      </c>
    </row>
    <row r="124" spans="1:10" x14ac:dyDescent="0.25">
      <c r="A124" s="116"/>
      <c r="B124" s="90" t="s">
        <v>359</v>
      </c>
      <c r="C124" s="91"/>
      <c r="D124" s="92"/>
      <c r="E124" s="49">
        <f t="shared" si="25"/>
        <v>14.306889029957199</v>
      </c>
      <c r="F124" s="49"/>
      <c r="G124" s="49">
        <f>14306.8890299572/1000</f>
        <v>14.306889029957199</v>
      </c>
      <c r="H124" s="49">
        <f>+J124</f>
        <v>17.1799</v>
      </c>
      <c r="I124" s="49"/>
      <c r="J124" s="49">
        <f>17179.9/1000</f>
        <v>17.1799</v>
      </c>
    </row>
    <row r="125" spans="1:10" x14ac:dyDescent="0.25">
      <c r="A125" s="116"/>
      <c r="B125" s="90" t="s">
        <v>408</v>
      </c>
      <c r="C125" s="91"/>
      <c r="D125" s="92"/>
      <c r="E125" s="49">
        <f t="shared" si="25"/>
        <v>11.753335010923299</v>
      </c>
      <c r="F125" s="49"/>
      <c r="G125" s="49">
        <f>11753.3350109233/1000</f>
        <v>11.753335010923299</v>
      </c>
      <c r="H125" s="49">
        <f>+J125</f>
        <v>4.1442800000000002</v>
      </c>
      <c r="I125" s="49"/>
      <c r="J125" s="49">
        <f>4144.28/1000</f>
        <v>4.1442800000000002</v>
      </c>
    </row>
    <row r="126" spans="1:10" x14ac:dyDescent="0.25">
      <c r="A126" s="116"/>
      <c r="B126" s="90" t="s">
        <v>465</v>
      </c>
      <c r="C126" s="91"/>
      <c r="D126" s="92"/>
      <c r="E126" s="49">
        <f t="shared" si="25"/>
        <v>2.7220759591195001</v>
      </c>
      <c r="F126" s="49"/>
      <c r="G126" s="49">
        <f>2722.0759591195/1000</f>
        <v>2.7220759591195001</v>
      </c>
      <c r="H126" s="49">
        <f>+J126</f>
        <v>0</v>
      </c>
      <c r="I126" s="49"/>
      <c r="J126" s="49"/>
    </row>
    <row r="127" spans="1:10" x14ac:dyDescent="0.25">
      <c r="A127" s="116"/>
      <c r="B127" s="90" t="s">
        <v>259</v>
      </c>
      <c r="C127" s="91"/>
      <c r="D127" s="92"/>
      <c r="E127" s="49">
        <f t="shared" ref="E127:E130" si="26">G127</f>
        <v>21.5406609552156</v>
      </c>
      <c r="F127" s="49"/>
      <c r="G127" s="49">
        <f>J127</f>
        <v>21.5406609552156</v>
      </c>
      <c r="H127" s="49">
        <f>J127</f>
        <v>21.5406609552156</v>
      </c>
      <c r="I127" s="49"/>
      <c r="J127" s="49">
        <f>20751.26/1000+789.400955215602/1000</f>
        <v>21.5406609552156</v>
      </c>
    </row>
    <row r="128" spans="1:10" x14ac:dyDescent="0.25">
      <c r="A128" s="116"/>
      <c r="B128" s="90" t="s">
        <v>360</v>
      </c>
      <c r="C128" s="91"/>
      <c r="D128" s="92"/>
      <c r="E128" s="49">
        <f t="shared" si="26"/>
        <v>17.914069620146012</v>
      </c>
      <c r="F128" s="49"/>
      <c r="G128" s="49">
        <f>J128</f>
        <v>17.914069620146012</v>
      </c>
      <c r="H128" s="49">
        <f>J128</f>
        <v>17.914069620146012</v>
      </c>
      <c r="I128" s="49"/>
      <c r="J128" s="49">
        <f>16676.22/1000+1237.84962014601/1000</f>
        <v>17.914069620146012</v>
      </c>
    </row>
    <row r="129" spans="1:10" x14ac:dyDescent="0.25">
      <c r="A129" s="116"/>
      <c r="B129" s="90" t="s">
        <v>409</v>
      </c>
      <c r="C129" s="91"/>
      <c r="D129" s="92"/>
      <c r="E129" s="49">
        <f t="shared" si="26"/>
        <v>41.143008528961573</v>
      </c>
      <c r="F129" s="49"/>
      <c r="G129" s="49">
        <f>J129</f>
        <v>41.143008528961573</v>
      </c>
      <c r="H129" s="49">
        <f>J129</f>
        <v>41.143008528961573</v>
      </c>
      <c r="I129" s="49"/>
      <c r="J129" s="49">
        <f>38642.46/1000+2500.54852896157/1000</f>
        <v>41.143008528961573</v>
      </c>
    </row>
    <row r="130" spans="1:10" x14ac:dyDescent="0.25">
      <c r="A130" s="117"/>
      <c r="B130" s="90" t="s">
        <v>452</v>
      </c>
      <c r="C130" s="91"/>
      <c r="D130" s="92"/>
      <c r="E130" s="49">
        <f t="shared" si="26"/>
        <v>22.156352987497669</v>
      </c>
      <c r="F130" s="49"/>
      <c r="G130" s="49">
        <f>J130</f>
        <v>22.156352987497669</v>
      </c>
      <c r="H130" s="49">
        <f>J130</f>
        <v>22.156352987497669</v>
      </c>
      <c r="I130" s="49"/>
      <c r="J130" s="49">
        <f>20905.32/1000+1251.03298749767/1000</f>
        <v>22.156352987497669</v>
      </c>
    </row>
    <row r="131" spans="1:10" ht="15" customHeight="1" x14ac:dyDescent="0.25">
      <c r="A131" s="115" t="s">
        <v>48</v>
      </c>
      <c r="B131" s="89" t="s">
        <v>22</v>
      </c>
      <c r="C131" s="89"/>
      <c r="D131" s="89"/>
      <c r="E131" s="49">
        <f t="shared" si="20"/>
        <v>10.286817005545299</v>
      </c>
      <c r="F131" s="49"/>
      <c r="G131" s="49">
        <v>10.286817005545299</v>
      </c>
      <c r="H131" s="49">
        <f t="shared" si="21"/>
        <v>45.286480000000005</v>
      </c>
      <c r="I131" s="49"/>
      <c r="J131" s="49">
        <v>45.286480000000005</v>
      </c>
    </row>
    <row r="132" spans="1:10" x14ac:dyDescent="0.25">
      <c r="A132" s="116"/>
      <c r="B132" s="89" t="s">
        <v>27</v>
      </c>
      <c r="C132" s="89"/>
      <c r="D132" s="89"/>
      <c r="E132" s="49">
        <f t="shared" si="20"/>
        <v>71.722973702856706</v>
      </c>
      <c r="F132" s="49"/>
      <c r="G132" s="49">
        <v>71.722973702856706</v>
      </c>
      <c r="H132" s="49">
        <f t="shared" si="21"/>
        <v>90.696619999999996</v>
      </c>
      <c r="I132" s="49"/>
      <c r="J132" s="49">
        <v>90.696619999999996</v>
      </c>
    </row>
    <row r="133" spans="1:10" x14ac:dyDescent="0.25">
      <c r="A133" s="116"/>
      <c r="B133" s="89" t="s">
        <v>28</v>
      </c>
      <c r="C133" s="89"/>
      <c r="D133" s="89"/>
      <c r="E133" s="49">
        <f t="shared" si="20"/>
        <v>85.848936572430105</v>
      </c>
      <c r="F133" s="49"/>
      <c r="G133" s="49">
        <v>85.848936572430105</v>
      </c>
      <c r="H133" s="49">
        <f t="shared" si="21"/>
        <v>97.320220000000006</v>
      </c>
      <c r="I133" s="49"/>
      <c r="J133" s="49">
        <v>97.320220000000006</v>
      </c>
    </row>
    <row r="134" spans="1:10" x14ac:dyDescent="0.25">
      <c r="A134" s="116"/>
      <c r="B134" s="89" t="s">
        <v>207</v>
      </c>
      <c r="C134" s="89"/>
      <c r="D134" s="89"/>
      <c r="E134" s="49">
        <f>+G134</f>
        <v>65.4445927191679</v>
      </c>
      <c r="F134" s="49"/>
      <c r="G134" s="49">
        <f>65444.5927191679/1000</f>
        <v>65.4445927191679</v>
      </c>
      <c r="H134" s="49"/>
      <c r="I134" s="49"/>
      <c r="J134" s="49"/>
    </row>
    <row r="135" spans="1:10" x14ac:dyDescent="0.25">
      <c r="A135" s="116"/>
      <c r="B135" s="89" t="s">
        <v>224</v>
      </c>
      <c r="C135" s="89"/>
      <c r="D135" s="89"/>
      <c r="E135" s="49">
        <f>+G135</f>
        <v>16.112449999999999</v>
      </c>
      <c r="F135" s="49"/>
      <c r="G135" s="49">
        <f>16112.45/1000</f>
        <v>16.112449999999999</v>
      </c>
      <c r="H135" s="49">
        <f>J135</f>
        <v>41.956800000000001</v>
      </c>
      <c r="I135" s="49"/>
      <c r="J135" s="49">
        <f>41956.8/1000</f>
        <v>41.956800000000001</v>
      </c>
    </row>
    <row r="136" spans="1:10" x14ac:dyDescent="0.25">
      <c r="A136" s="116"/>
      <c r="B136" s="90" t="s">
        <v>359</v>
      </c>
      <c r="C136" s="91"/>
      <c r="D136" s="92"/>
      <c r="E136" s="49">
        <f>+G136</f>
        <v>42.464738131241099</v>
      </c>
      <c r="F136" s="49"/>
      <c r="G136" s="49">
        <f>42464.7381312411/1000</f>
        <v>42.464738131241099</v>
      </c>
      <c r="H136" s="49">
        <f>+J136</f>
        <v>41.784269999999999</v>
      </c>
      <c r="I136" s="49"/>
      <c r="J136" s="49">
        <f>41784.27/1000</f>
        <v>41.784269999999999</v>
      </c>
    </row>
    <row r="137" spans="1:10" x14ac:dyDescent="0.25">
      <c r="A137" s="116"/>
      <c r="B137" s="90" t="s">
        <v>408</v>
      </c>
      <c r="C137" s="91"/>
      <c r="D137" s="92"/>
      <c r="E137" s="49">
        <f>+G137</f>
        <v>42.210324573161401</v>
      </c>
      <c r="F137" s="49"/>
      <c r="G137" s="49">
        <f>42210.3245731614/1000</f>
        <v>42.210324573161401</v>
      </c>
      <c r="H137" s="49">
        <f>+J137</f>
        <v>48.330910000000003</v>
      </c>
      <c r="I137" s="49"/>
      <c r="J137" s="49">
        <f>48330.91/1000</f>
        <v>48.330910000000003</v>
      </c>
    </row>
    <row r="138" spans="1:10" x14ac:dyDescent="0.25">
      <c r="A138" s="116"/>
      <c r="B138" s="90" t="s">
        <v>465</v>
      </c>
      <c r="C138" s="91"/>
      <c r="D138" s="92"/>
      <c r="E138" s="49">
        <f>+G138</f>
        <v>64.942207295597498</v>
      </c>
      <c r="F138" s="49"/>
      <c r="G138" s="49">
        <f>64942.2072955975/1000</f>
        <v>64.942207295597498</v>
      </c>
      <c r="H138" s="49">
        <f>+J138</f>
        <v>42.435739999999996</v>
      </c>
      <c r="I138" s="49"/>
      <c r="J138" s="49">
        <f>42435.74/1000</f>
        <v>42.435739999999996</v>
      </c>
    </row>
    <row r="139" spans="1:10" x14ac:dyDescent="0.25">
      <c r="A139" s="116"/>
      <c r="B139" s="90" t="s">
        <v>259</v>
      </c>
      <c r="C139" s="91"/>
      <c r="D139" s="92"/>
      <c r="E139" s="49">
        <f t="shared" ref="E139:E142" si="27">G139</f>
        <v>7.8159720560936581</v>
      </c>
      <c r="F139" s="49"/>
      <c r="G139" s="49">
        <f>J139</f>
        <v>7.8159720560936581</v>
      </c>
      <c r="H139" s="49">
        <f>J139</f>
        <v>7.8159720560936581</v>
      </c>
      <c r="I139" s="49"/>
      <c r="J139" s="49">
        <f>7529.54/1000+286.432056093658/1000</f>
        <v>7.8159720560936581</v>
      </c>
    </row>
    <row r="140" spans="1:10" x14ac:dyDescent="0.25">
      <c r="A140" s="116"/>
      <c r="B140" s="90" t="s">
        <v>360</v>
      </c>
      <c r="C140" s="91"/>
      <c r="D140" s="92"/>
      <c r="E140" s="49">
        <f t="shared" si="27"/>
        <v>7.327032818043576</v>
      </c>
      <c r="F140" s="49"/>
      <c r="G140" s="49">
        <f>J140</f>
        <v>7.327032818043576</v>
      </c>
      <c r="H140" s="49">
        <f>J140</f>
        <v>7.327032818043576</v>
      </c>
      <c r="I140" s="49"/>
      <c r="J140" s="49">
        <f>6820.74/1000+506.292818043576/1000</f>
        <v>7.327032818043576</v>
      </c>
    </row>
    <row r="141" spans="1:10" x14ac:dyDescent="0.25">
      <c r="A141" s="116"/>
      <c r="B141" s="90" t="s">
        <v>409</v>
      </c>
      <c r="C141" s="91"/>
      <c r="D141" s="92"/>
      <c r="E141" s="49">
        <f t="shared" si="27"/>
        <v>6.6163413628646719</v>
      </c>
      <c r="F141" s="49"/>
      <c r="G141" s="49">
        <f>J141</f>
        <v>6.6163413628646719</v>
      </c>
      <c r="H141" s="49">
        <f>J141</f>
        <v>6.6163413628646719</v>
      </c>
      <c r="I141" s="49"/>
      <c r="J141" s="49">
        <f>6214.22/1000+402.121362864672/1000</f>
        <v>6.6163413628646719</v>
      </c>
    </row>
    <row r="142" spans="1:10" x14ac:dyDescent="0.25">
      <c r="A142" s="117"/>
      <c r="B142" s="90" t="s">
        <v>452</v>
      </c>
      <c r="C142" s="91"/>
      <c r="D142" s="92"/>
      <c r="E142" s="49">
        <f t="shared" si="27"/>
        <v>4.9939475017124542</v>
      </c>
      <c r="F142" s="49"/>
      <c r="G142" s="49">
        <f>J142</f>
        <v>4.9939475017124542</v>
      </c>
      <c r="H142" s="49">
        <f>J142</f>
        <v>4.9939475017124542</v>
      </c>
      <c r="I142" s="49"/>
      <c r="J142" s="49">
        <f>4711.97/1000+281.977501712454/1000</f>
        <v>4.9939475017124542</v>
      </c>
    </row>
    <row r="143" spans="1:10" ht="17.25" customHeight="1" x14ac:dyDescent="0.25">
      <c r="A143" s="115" t="s">
        <v>49</v>
      </c>
      <c r="B143" s="90" t="s">
        <v>22</v>
      </c>
      <c r="C143" s="91"/>
      <c r="D143" s="92"/>
      <c r="E143" s="49">
        <f t="shared" si="20"/>
        <v>4.9567822550831799</v>
      </c>
      <c r="F143" s="49"/>
      <c r="G143" s="49">
        <v>4.9567822550831799</v>
      </c>
      <c r="H143" s="49">
        <f t="shared" si="21"/>
        <v>21.821680000000001</v>
      </c>
      <c r="I143" s="49"/>
      <c r="J143" s="49">
        <v>21.821680000000001</v>
      </c>
    </row>
    <row r="144" spans="1:10" ht="17.25" customHeight="1" x14ac:dyDescent="0.25">
      <c r="A144" s="116"/>
      <c r="B144" s="90" t="s">
        <v>27</v>
      </c>
      <c r="C144" s="91"/>
      <c r="D144" s="92"/>
      <c r="E144" s="49">
        <f t="shared" si="20"/>
        <v>39.809851945905301</v>
      </c>
      <c r="F144" s="49"/>
      <c r="G144" s="49">
        <v>39.809851945905301</v>
      </c>
      <c r="H144" s="49">
        <f t="shared" si="21"/>
        <v>56.667769999999997</v>
      </c>
      <c r="I144" s="49"/>
      <c r="J144" s="49">
        <v>56.667769999999997</v>
      </c>
    </row>
    <row r="145" spans="1:10" ht="17.25" customHeight="1" x14ac:dyDescent="0.25">
      <c r="A145" s="116"/>
      <c r="B145" s="90" t="s">
        <v>28</v>
      </c>
      <c r="C145" s="91"/>
      <c r="D145" s="92"/>
      <c r="E145" s="49">
        <f t="shared" si="20"/>
        <v>52.9663619654306</v>
      </c>
      <c r="F145" s="49"/>
      <c r="G145" s="49">
        <v>52.9663619654306</v>
      </c>
      <c r="H145" s="49">
        <f t="shared" si="21"/>
        <v>58.752870000000001</v>
      </c>
      <c r="I145" s="49"/>
      <c r="J145" s="49">
        <v>58.752870000000001</v>
      </c>
    </row>
    <row r="146" spans="1:10" x14ac:dyDescent="0.25">
      <c r="A146" s="116"/>
      <c r="B146" s="90" t="s">
        <v>207</v>
      </c>
      <c r="C146" s="91"/>
      <c r="D146" s="92"/>
      <c r="E146" s="49">
        <f>+G146</f>
        <v>39.509323833581</v>
      </c>
      <c r="F146" s="49"/>
      <c r="G146" s="49">
        <f>39509.323833581/1000</f>
        <v>39.509323833581</v>
      </c>
      <c r="H146" s="49"/>
      <c r="I146" s="49"/>
      <c r="J146" s="49"/>
    </row>
    <row r="147" spans="1:10" x14ac:dyDescent="0.25">
      <c r="A147" s="116"/>
      <c r="B147" s="90" t="s">
        <v>224</v>
      </c>
      <c r="C147" s="91"/>
      <c r="D147" s="92"/>
      <c r="E147" s="49">
        <f>+G147</f>
        <v>9.8685650000000003</v>
      </c>
      <c r="F147" s="49"/>
      <c r="G147" s="49">
        <f>9868.565/1000</f>
        <v>9.8685650000000003</v>
      </c>
      <c r="H147" s="49">
        <f>J147</f>
        <v>25.697749999999999</v>
      </c>
      <c r="I147" s="49"/>
      <c r="J147" s="49">
        <f>25697.75/1000</f>
        <v>25.697749999999999</v>
      </c>
    </row>
    <row r="148" spans="1:10" x14ac:dyDescent="0.25">
      <c r="A148" s="116"/>
      <c r="B148" s="90" t="s">
        <v>359</v>
      </c>
      <c r="C148" s="91"/>
      <c r="D148" s="92"/>
      <c r="E148" s="49">
        <f>+G148</f>
        <v>24.158338338088402</v>
      </c>
      <c r="F148" s="49"/>
      <c r="G148" s="49">
        <f>24158.3383380884/1000</f>
        <v>24.158338338088402</v>
      </c>
      <c r="H148" s="49">
        <f>+J148</f>
        <v>20.93364</v>
      </c>
      <c r="I148" s="49"/>
      <c r="J148" s="49">
        <f>20933.64/1000</f>
        <v>20.93364</v>
      </c>
    </row>
    <row r="149" spans="1:10" x14ac:dyDescent="0.25">
      <c r="A149" s="116"/>
      <c r="B149" s="90" t="s">
        <v>408</v>
      </c>
      <c r="C149" s="91"/>
      <c r="D149" s="92"/>
      <c r="E149" s="49">
        <f>+G149</f>
        <v>21.0083318505908</v>
      </c>
      <c r="F149" s="49"/>
      <c r="G149" s="49">
        <f>21008.3318505908/1000</f>
        <v>21.0083318505908</v>
      </c>
      <c r="H149" s="49">
        <f>+J149</f>
        <v>23.824249999999999</v>
      </c>
      <c r="I149" s="49"/>
      <c r="J149" s="49">
        <f>23824.25/1000</f>
        <v>23.824249999999999</v>
      </c>
    </row>
    <row r="150" spans="1:10" x14ac:dyDescent="0.25">
      <c r="A150" s="116"/>
      <c r="B150" s="90" t="s">
        <v>465</v>
      </c>
      <c r="C150" s="91"/>
      <c r="D150" s="92"/>
      <c r="E150" s="49">
        <f>+G150</f>
        <v>32.021774811320803</v>
      </c>
      <c r="F150" s="49"/>
      <c r="G150" s="49">
        <f>32021.7748113208/1000</f>
        <v>32.021774811320803</v>
      </c>
      <c r="H150" s="49">
        <f>+J150</f>
        <v>20.938790000000001</v>
      </c>
      <c r="I150" s="49"/>
      <c r="J150" s="49">
        <f>20938.79/1000</f>
        <v>20.938790000000001</v>
      </c>
    </row>
    <row r="151" spans="1:10" x14ac:dyDescent="0.25">
      <c r="A151" s="116"/>
      <c r="B151" s="90" t="s">
        <v>259</v>
      </c>
      <c r="C151" s="91"/>
      <c r="D151" s="92"/>
      <c r="E151" s="49">
        <f t="shared" ref="E151:E154" si="28">G151</f>
        <v>4.5978058669953548</v>
      </c>
      <c r="F151" s="49"/>
      <c r="G151" s="49">
        <f>J151</f>
        <v>4.5978058669953548</v>
      </c>
      <c r="H151" s="49">
        <f>J151</f>
        <v>4.5978058669953548</v>
      </c>
      <c r="I151" s="49"/>
      <c r="J151" s="49">
        <f>4429.31/1000+168.495866995355/1000</f>
        <v>4.5978058669953548</v>
      </c>
    </row>
    <row r="152" spans="1:10" x14ac:dyDescent="0.25">
      <c r="A152" s="116"/>
      <c r="B152" s="90" t="s">
        <v>360</v>
      </c>
      <c r="C152" s="91"/>
      <c r="D152" s="92"/>
      <c r="E152" s="49">
        <f t="shared" si="28"/>
        <v>4.3101804389959373</v>
      </c>
      <c r="F152" s="49"/>
      <c r="G152" s="49">
        <f>J152</f>
        <v>4.3101804389959373</v>
      </c>
      <c r="H152" s="49">
        <f>J152</f>
        <v>4.3101804389959373</v>
      </c>
      <c r="I152" s="49"/>
      <c r="J152" s="49">
        <f>4012.35/1000+297.830438995938/1000</f>
        <v>4.3101804389959373</v>
      </c>
    </row>
    <row r="153" spans="1:10" x14ac:dyDescent="0.25">
      <c r="A153" s="116"/>
      <c r="B153" s="90" t="s">
        <v>409</v>
      </c>
      <c r="C153" s="91"/>
      <c r="D153" s="92"/>
      <c r="E153" s="49">
        <f t="shared" si="28"/>
        <v>3.892110809149592</v>
      </c>
      <c r="F153" s="49"/>
      <c r="G153" s="49">
        <f>J153</f>
        <v>3.892110809149592</v>
      </c>
      <c r="H153" s="49">
        <f>J153</f>
        <v>3.892110809149592</v>
      </c>
      <c r="I153" s="49"/>
      <c r="J153" s="49">
        <f>3655.56/1000+236.550809149592/1000</f>
        <v>3.892110809149592</v>
      </c>
    </row>
    <row r="154" spans="1:10" x14ac:dyDescent="0.25">
      <c r="A154" s="117"/>
      <c r="B154" s="90" t="s">
        <v>452</v>
      </c>
      <c r="C154" s="91"/>
      <c r="D154" s="92"/>
      <c r="E154" s="49">
        <f t="shared" si="28"/>
        <v>3.0025664617509102</v>
      </c>
      <c r="F154" s="49"/>
      <c r="G154" s="49">
        <f>J154</f>
        <v>3.0025664617509102</v>
      </c>
      <c r="H154" s="49">
        <f>J154</f>
        <v>3.0025664617509102</v>
      </c>
      <c r="I154" s="49"/>
      <c r="J154" s="49">
        <f>2833.03/1000+169.53646175091/1000</f>
        <v>3.0025664617509102</v>
      </c>
    </row>
    <row r="155" spans="1:10" x14ac:dyDescent="0.25">
      <c r="A155" s="115" t="s">
        <v>50</v>
      </c>
      <c r="B155" s="89" t="s">
        <v>22</v>
      </c>
      <c r="C155" s="89"/>
      <c r="D155" s="89"/>
      <c r="E155" s="49">
        <f t="shared" si="20"/>
        <v>0.98794824399260595</v>
      </c>
      <c r="F155" s="49"/>
      <c r="G155" s="49">
        <v>0.98794824399260595</v>
      </c>
      <c r="H155" s="49">
        <f t="shared" si="21"/>
        <v>4.3493300000000001</v>
      </c>
      <c r="I155" s="49"/>
      <c r="J155" s="49">
        <v>4.3493300000000001</v>
      </c>
    </row>
    <row r="156" spans="1:10" x14ac:dyDescent="0.25">
      <c r="A156" s="116"/>
      <c r="B156" s="89" t="s">
        <v>27</v>
      </c>
      <c r="C156" s="89"/>
      <c r="D156" s="89"/>
      <c r="E156" s="49">
        <f t="shared" si="20"/>
        <v>9.2671056439810311</v>
      </c>
      <c r="F156" s="49"/>
      <c r="G156" s="49">
        <v>9.2671056439810311</v>
      </c>
      <c r="H156" s="49">
        <f t="shared" si="21"/>
        <v>14.58553</v>
      </c>
      <c r="I156" s="49"/>
      <c r="J156" s="49">
        <v>14.58553</v>
      </c>
    </row>
    <row r="157" spans="1:10" x14ac:dyDescent="0.25">
      <c r="A157" s="116"/>
      <c r="B157" s="89" t="s">
        <v>28</v>
      </c>
      <c r="C157" s="89"/>
      <c r="D157" s="89"/>
      <c r="E157" s="49">
        <f t="shared" si="20"/>
        <v>8.679806112026359</v>
      </c>
      <c r="F157" s="49"/>
      <c r="G157" s="49">
        <v>8.679806112026359</v>
      </c>
      <c r="H157" s="49"/>
      <c r="I157" s="49"/>
      <c r="J157" s="49"/>
    </row>
    <row r="158" spans="1:10" x14ac:dyDescent="0.25">
      <c r="A158" s="116"/>
      <c r="B158" s="89" t="s">
        <v>207</v>
      </c>
      <c r="C158" s="89"/>
      <c r="D158" s="89"/>
      <c r="E158" s="49">
        <f t="shared" ref="E158:E163" si="29">+G158</f>
        <v>4.9127196852646602</v>
      </c>
      <c r="F158" s="49"/>
      <c r="G158" s="49">
        <f>4912.71968526466/1000</f>
        <v>4.9127196852646602</v>
      </c>
      <c r="H158" s="49">
        <f>+J158</f>
        <v>12.66587</v>
      </c>
      <c r="I158" s="49"/>
      <c r="J158" s="49">
        <f>12665.87/1000</f>
        <v>12.66587</v>
      </c>
    </row>
    <row r="159" spans="1:10" x14ac:dyDescent="0.25">
      <c r="A159" s="116"/>
      <c r="B159" s="89" t="s">
        <v>167</v>
      </c>
      <c r="C159" s="89"/>
      <c r="D159" s="89"/>
      <c r="E159" s="49">
        <f t="shared" si="29"/>
        <v>7.7531503147353398</v>
      </c>
      <c r="F159" s="49"/>
      <c r="G159" s="49">
        <f>7753.15031473534/1000</f>
        <v>7.7531503147353398</v>
      </c>
      <c r="H159" s="49"/>
      <c r="I159" s="49"/>
      <c r="J159" s="49"/>
    </row>
    <row r="160" spans="1:10" x14ac:dyDescent="0.25">
      <c r="A160" s="116"/>
      <c r="B160" s="89" t="s">
        <v>224</v>
      </c>
      <c r="C160" s="89"/>
      <c r="D160" s="89"/>
      <c r="E160" s="49">
        <f t="shared" si="29"/>
        <v>13.342979999999999</v>
      </c>
      <c r="F160" s="49"/>
      <c r="G160" s="49">
        <f>13342.98/1000</f>
        <v>13.342979999999999</v>
      </c>
      <c r="H160" s="49">
        <f>J160</f>
        <v>34.745139999999999</v>
      </c>
      <c r="I160" s="49"/>
      <c r="J160" s="49">
        <f>34745.14/1000</f>
        <v>34.745139999999999</v>
      </c>
    </row>
    <row r="161" spans="1:10" x14ac:dyDescent="0.25">
      <c r="A161" s="116"/>
      <c r="B161" s="90" t="s">
        <v>359</v>
      </c>
      <c r="C161" s="91"/>
      <c r="D161" s="92"/>
      <c r="E161" s="49">
        <f t="shared" si="29"/>
        <v>21.402159999999999</v>
      </c>
      <c r="F161" s="49"/>
      <c r="G161" s="49">
        <f>21402.16/1000</f>
        <v>21.402159999999999</v>
      </c>
      <c r="H161" s="49">
        <f>+J161</f>
        <v>0</v>
      </c>
      <c r="I161" s="49"/>
      <c r="J161" s="49"/>
    </row>
    <row r="162" spans="1:10" x14ac:dyDescent="0.25">
      <c r="A162" s="116"/>
      <c r="B162" s="90" t="s">
        <v>408</v>
      </c>
      <c r="C162" s="91"/>
      <c r="D162" s="92"/>
      <c r="E162" s="49">
        <f t="shared" si="29"/>
        <v>2.8636752201257902</v>
      </c>
      <c r="F162" s="49"/>
      <c r="G162" s="49">
        <f>2863.67522012579/1000</f>
        <v>2.8636752201257902</v>
      </c>
      <c r="H162" s="49">
        <f>+J162</f>
        <v>7.8094799999999998</v>
      </c>
      <c r="I162" s="49"/>
      <c r="J162" s="49">
        <f>7809.48/1000</f>
        <v>7.8094799999999998</v>
      </c>
    </row>
    <row r="163" spans="1:10" x14ac:dyDescent="0.25">
      <c r="A163" s="116"/>
      <c r="B163" s="90" t="s">
        <v>465</v>
      </c>
      <c r="C163" s="91"/>
      <c r="D163" s="92"/>
      <c r="E163" s="49">
        <f t="shared" si="29"/>
        <v>10.6134447798742</v>
      </c>
      <c r="F163" s="49"/>
      <c r="G163" s="49">
        <f>10613.4447798742/1000</f>
        <v>10.6134447798742</v>
      </c>
      <c r="H163" s="49">
        <f>+J163</f>
        <v>6.8862200000000007</v>
      </c>
      <c r="I163" s="49"/>
      <c r="J163" s="49">
        <f>6886.22/1000</f>
        <v>6.8862200000000007</v>
      </c>
    </row>
    <row r="164" spans="1:10" x14ac:dyDescent="0.25">
      <c r="A164" s="116"/>
      <c r="B164" s="90" t="s">
        <v>259</v>
      </c>
      <c r="C164" s="91"/>
      <c r="D164" s="92"/>
      <c r="E164" s="49">
        <f t="shared" ref="E164:E167" si="30">G164</f>
        <v>75.574438855927312</v>
      </c>
      <c r="F164" s="49"/>
      <c r="G164" s="49">
        <f>J164</f>
        <v>75.574438855927312</v>
      </c>
      <c r="H164" s="49">
        <f>J164</f>
        <v>75.574438855927312</v>
      </c>
      <c r="I164" s="49"/>
      <c r="J164" s="49">
        <f>72804.8612/1000+2769.57765592731/1000</f>
        <v>75.574438855927312</v>
      </c>
    </row>
    <row r="165" spans="1:10" x14ac:dyDescent="0.25">
      <c r="A165" s="116"/>
      <c r="B165" s="90" t="s">
        <v>360</v>
      </c>
      <c r="C165" s="91"/>
      <c r="D165" s="92"/>
      <c r="E165" s="49">
        <f t="shared" si="30"/>
        <v>70.846696966995992</v>
      </c>
      <c r="F165" s="49"/>
      <c r="G165" s="49">
        <f>J165</f>
        <v>70.846696966995992</v>
      </c>
      <c r="H165" s="49">
        <f>J165</f>
        <v>70.846696966995992</v>
      </c>
      <c r="I165" s="49"/>
      <c r="J165" s="49">
        <f>65951.24/1000+4895.456966996/1000</f>
        <v>70.846696966995992</v>
      </c>
    </row>
    <row r="166" spans="1:10" x14ac:dyDescent="0.25">
      <c r="A166" s="116"/>
      <c r="B166" s="90" t="s">
        <v>409</v>
      </c>
      <c r="C166" s="91"/>
      <c r="D166" s="92"/>
      <c r="E166" s="49">
        <f t="shared" si="30"/>
        <v>63.974753433294907</v>
      </c>
      <c r="F166" s="49"/>
      <c r="G166" s="49">
        <f>J166</f>
        <v>63.974753433294907</v>
      </c>
      <c r="H166" s="49">
        <f>J166</f>
        <v>63.974753433294907</v>
      </c>
      <c r="I166" s="49"/>
      <c r="J166" s="49">
        <f>60086.56/1000+3888.19343329491/1000</f>
        <v>63.974753433294907</v>
      </c>
    </row>
    <row r="167" spans="1:10" x14ac:dyDescent="0.25">
      <c r="A167" s="117"/>
      <c r="B167" s="90" t="s">
        <v>452</v>
      </c>
      <c r="C167" s="91"/>
      <c r="D167" s="92"/>
      <c r="E167" s="49">
        <f t="shared" si="30"/>
        <v>51.090209941043689</v>
      </c>
      <c r="F167" s="49"/>
      <c r="G167" s="49">
        <f>J167</f>
        <v>51.090209941043689</v>
      </c>
      <c r="H167" s="49">
        <f>J167</f>
        <v>51.090209941043689</v>
      </c>
      <c r="I167" s="49"/>
      <c r="J167" s="49">
        <f>48205.46/1000+2884.74994104369/1000</f>
        <v>51.090209941043689</v>
      </c>
    </row>
    <row r="168" spans="1:10" x14ac:dyDescent="0.25">
      <c r="A168" s="115" t="s">
        <v>51</v>
      </c>
      <c r="B168" s="89" t="s">
        <v>22</v>
      </c>
      <c r="C168" s="89"/>
      <c r="D168" s="89"/>
      <c r="E168" s="49">
        <f t="shared" si="20"/>
        <v>0.76701811460258795</v>
      </c>
      <c r="F168" s="49"/>
      <c r="G168" s="49">
        <v>0.76701811460258795</v>
      </c>
      <c r="H168" s="49">
        <f t="shared" si="21"/>
        <v>3.3767</v>
      </c>
      <c r="I168" s="49"/>
      <c r="J168" s="49">
        <v>3.3767</v>
      </c>
    </row>
    <row r="169" spans="1:10" x14ac:dyDescent="0.25">
      <c r="A169" s="116"/>
      <c r="B169" s="89" t="s">
        <v>27</v>
      </c>
      <c r="C169" s="89"/>
      <c r="D169" s="89"/>
      <c r="E169" s="49">
        <f t="shared" si="20"/>
        <v>38.840856844211302</v>
      </c>
      <c r="F169" s="49"/>
      <c r="G169" s="49">
        <v>38.840856844211302</v>
      </c>
      <c r="H169" s="49">
        <f t="shared" si="21"/>
        <v>89.48124</v>
      </c>
      <c r="I169" s="49"/>
      <c r="J169" s="49">
        <v>89.48124</v>
      </c>
    </row>
    <row r="170" spans="1:10" x14ac:dyDescent="0.25">
      <c r="A170" s="116"/>
      <c r="B170" s="89" t="s">
        <v>28</v>
      </c>
      <c r="C170" s="89"/>
      <c r="D170" s="89"/>
      <c r="E170" s="49">
        <f t="shared" si="20"/>
        <v>85.789545070903799</v>
      </c>
      <c r="F170" s="49"/>
      <c r="G170" s="49">
        <v>85.789545070903799</v>
      </c>
      <c r="H170" s="49">
        <f t="shared" si="21"/>
        <v>99.347009999999997</v>
      </c>
      <c r="I170" s="49"/>
      <c r="J170" s="49">
        <v>99.347009999999997</v>
      </c>
    </row>
    <row r="171" spans="1:10" x14ac:dyDescent="0.25">
      <c r="A171" s="116"/>
      <c r="B171" s="89" t="s">
        <v>207</v>
      </c>
      <c r="C171" s="89"/>
      <c r="D171" s="89"/>
      <c r="E171" s="49">
        <f>+G171</f>
        <v>66.807529970282289</v>
      </c>
      <c r="F171" s="49"/>
      <c r="G171" s="49">
        <f>66807.5299702823/1000</f>
        <v>66.807529970282289</v>
      </c>
      <c r="H171" s="49"/>
      <c r="I171" s="49"/>
      <c r="J171" s="49"/>
    </row>
    <row r="172" spans="1:10" x14ac:dyDescent="0.25">
      <c r="A172" s="116"/>
      <c r="B172" s="89" t="s">
        <v>224</v>
      </c>
      <c r="C172" s="89"/>
      <c r="D172" s="89"/>
      <c r="E172" s="49">
        <f>+G172</f>
        <v>11.273245000000001</v>
      </c>
      <c r="F172" s="49"/>
      <c r="G172" s="49">
        <f>11273.245/1000</f>
        <v>11.273245000000001</v>
      </c>
      <c r="H172" s="49">
        <f>J172</f>
        <v>29.355520000000002</v>
      </c>
      <c r="I172" s="49"/>
      <c r="J172" s="49">
        <f>29355.52/1000</f>
        <v>29.355520000000002</v>
      </c>
    </row>
    <row r="173" spans="1:10" x14ac:dyDescent="0.25">
      <c r="A173" s="116"/>
      <c r="B173" s="90" t="s">
        <v>359</v>
      </c>
      <c r="C173" s="91"/>
      <c r="D173" s="92"/>
      <c r="E173" s="49">
        <f>+G173</f>
        <v>28.625891504992897</v>
      </c>
      <c r="F173" s="49"/>
      <c r="G173" s="49">
        <f>28625.8915049929/1000</f>
        <v>28.625891504992897</v>
      </c>
      <c r="H173" s="49">
        <f>+J173</f>
        <v>26.467179999999999</v>
      </c>
      <c r="I173" s="49"/>
      <c r="J173" s="49">
        <f>26467.18/1000</f>
        <v>26.467179999999999</v>
      </c>
    </row>
    <row r="174" spans="1:10" x14ac:dyDescent="0.25">
      <c r="A174" s="116"/>
      <c r="B174" s="90" t="s">
        <v>408</v>
      </c>
      <c r="C174" s="91"/>
      <c r="D174" s="92"/>
      <c r="E174" s="49">
        <f>+G174</f>
        <v>26.897084281170702</v>
      </c>
      <c r="F174" s="49"/>
      <c r="G174" s="49">
        <f>26897.0842811707/1000</f>
        <v>26.897084281170702</v>
      </c>
      <c r="H174" s="49">
        <f>+J174</f>
        <v>31.10782</v>
      </c>
      <c r="I174" s="49"/>
      <c r="J174" s="49">
        <f>31107.82/1000</f>
        <v>31.10782</v>
      </c>
    </row>
    <row r="175" spans="1:10" x14ac:dyDescent="0.25">
      <c r="A175" s="116"/>
      <c r="B175" s="90" t="s">
        <v>465</v>
      </c>
      <c r="C175" s="91"/>
      <c r="D175" s="92"/>
      <c r="E175" s="49">
        <f>+G175</f>
        <v>41.810069213836499</v>
      </c>
      <c r="F175" s="49"/>
      <c r="G175" s="49">
        <f>41810.0692138365/1000</f>
        <v>41.810069213836499</v>
      </c>
      <c r="H175" s="49">
        <f>+J175</f>
        <v>27.332090000000001</v>
      </c>
      <c r="I175" s="49"/>
      <c r="J175" s="49">
        <f>27332.09/1000</f>
        <v>27.332090000000001</v>
      </c>
    </row>
    <row r="176" spans="1:10" x14ac:dyDescent="0.25">
      <c r="A176" s="116"/>
      <c r="B176" s="90" t="s">
        <v>259</v>
      </c>
      <c r="C176" s="91"/>
      <c r="D176" s="92"/>
      <c r="E176" s="49">
        <f t="shared" ref="E176:E179" si="31">G176</f>
        <v>6.4391247087813301</v>
      </c>
      <c r="F176" s="49"/>
      <c r="G176" s="49">
        <f>J176</f>
        <v>6.4391247087813301</v>
      </c>
      <c r="H176" s="49">
        <f>J176</f>
        <v>6.4391247087813301</v>
      </c>
      <c r="I176" s="49"/>
      <c r="J176" s="49">
        <f>6203.15/1000+235.97470878133/1000</f>
        <v>6.4391247087813301</v>
      </c>
    </row>
    <row r="177" spans="1:10" x14ac:dyDescent="0.25">
      <c r="A177" s="116"/>
      <c r="B177" s="90" t="s">
        <v>360</v>
      </c>
      <c r="C177" s="91"/>
      <c r="D177" s="92"/>
      <c r="E177" s="49">
        <f t="shared" si="31"/>
        <v>6.0363043908946068</v>
      </c>
      <c r="F177" s="49"/>
      <c r="G177" s="49">
        <f>J177</f>
        <v>6.0363043908946068</v>
      </c>
      <c r="H177" s="49">
        <f>J177</f>
        <v>6.0363043908946068</v>
      </c>
      <c r="I177" s="49"/>
      <c r="J177" s="49">
        <f>5619.2/1000+417.104390894607/1000</f>
        <v>6.0363043908946068</v>
      </c>
    </row>
    <row r="178" spans="1:10" x14ac:dyDescent="0.25">
      <c r="A178" s="116"/>
      <c r="B178" s="90" t="s">
        <v>409</v>
      </c>
      <c r="C178" s="91"/>
      <c r="D178" s="92"/>
      <c r="E178" s="49">
        <f t="shared" si="31"/>
        <v>5.4508141162409078</v>
      </c>
      <c r="F178" s="49"/>
      <c r="G178" s="49">
        <f>J178</f>
        <v>5.4508141162409078</v>
      </c>
      <c r="H178" s="49">
        <f>J178</f>
        <v>5.4508141162409078</v>
      </c>
      <c r="I178" s="49"/>
      <c r="J178" s="49">
        <f>5119.53/1000+331.284116240908/1000</f>
        <v>5.4508141162409078</v>
      </c>
    </row>
    <row r="179" spans="1:10" x14ac:dyDescent="0.25">
      <c r="A179" s="117"/>
      <c r="B179" s="90" t="s">
        <v>452</v>
      </c>
      <c r="C179" s="91"/>
      <c r="D179" s="92"/>
      <c r="E179" s="49">
        <f t="shared" si="31"/>
        <v>3.9846803954000758</v>
      </c>
      <c r="F179" s="49"/>
      <c r="G179" s="49">
        <f>J179</f>
        <v>3.9846803954000758</v>
      </c>
      <c r="H179" s="49">
        <f>J179</f>
        <v>3.9846803954000758</v>
      </c>
      <c r="I179" s="49"/>
      <c r="J179" s="49">
        <f>3759.69/1000+224.990395400076/1000</f>
        <v>3.9846803954000758</v>
      </c>
    </row>
    <row r="180" spans="1:10" ht="15" customHeight="1" x14ac:dyDescent="0.25">
      <c r="A180" s="115" t="s">
        <v>52</v>
      </c>
      <c r="B180" s="90" t="s">
        <v>22</v>
      </c>
      <c r="C180" s="91"/>
      <c r="D180" s="92"/>
      <c r="E180" s="49">
        <f t="shared" si="20"/>
        <v>9.92358743068392</v>
      </c>
      <c r="F180" s="49"/>
      <c r="G180" s="49">
        <v>9.92358743068392</v>
      </c>
      <c r="H180" s="49">
        <f t="shared" si="21"/>
        <v>43.687470000000005</v>
      </c>
      <c r="I180" s="49"/>
      <c r="J180" s="49">
        <v>43.687470000000005</v>
      </c>
    </row>
    <row r="181" spans="1:10" x14ac:dyDescent="0.25">
      <c r="A181" s="116"/>
      <c r="B181" s="90" t="s">
        <v>27</v>
      </c>
      <c r="C181" s="91"/>
      <c r="D181" s="92"/>
      <c r="E181" s="49">
        <f t="shared" si="20"/>
        <v>60.890630510008002</v>
      </c>
      <c r="F181" s="49"/>
      <c r="G181" s="49">
        <v>60.890630510008002</v>
      </c>
      <c r="H181" s="49">
        <f t="shared" si="21"/>
        <v>66.995739999999998</v>
      </c>
      <c r="I181" s="49"/>
      <c r="J181" s="49">
        <v>66.995739999999998</v>
      </c>
    </row>
    <row r="182" spans="1:10" x14ac:dyDescent="0.25">
      <c r="A182" s="116"/>
      <c r="B182" s="90" t="s">
        <v>28</v>
      </c>
      <c r="C182" s="91"/>
      <c r="D182" s="92"/>
      <c r="E182" s="49">
        <f t="shared" si="20"/>
        <v>70.573578314880095</v>
      </c>
      <c r="F182" s="49"/>
      <c r="G182" s="49">
        <v>70.573578314880095</v>
      </c>
      <c r="H182" s="49">
        <f t="shared" si="21"/>
        <v>93.744869999999992</v>
      </c>
      <c r="I182" s="49"/>
      <c r="J182" s="49">
        <v>93.744869999999992</v>
      </c>
    </row>
    <row r="183" spans="1:10" x14ac:dyDescent="0.25">
      <c r="A183" s="116"/>
      <c r="B183" s="90" t="s">
        <v>207</v>
      </c>
      <c r="C183" s="91"/>
      <c r="D183" s="92"/>
      <c r="E183" s="49">
        <f>+G183</f>
        <v>63.040283744427896</v>
      </c>
      <c r="F183" s="49"/>
      <c r="G183" s="49">
        <f>63040.2837444279/1000</f>
        <v>63.040283744427896</v>
      </c>
      <c r="H183" s="49"/>
      <c r="I183" s="49"/>
      <c r="J183" s="49"/>
    </row>
    <row r="184" spans="1:10" x14ac:dyDescent="0.25">
      <c r="A184" s="116"/>
      <c r="B184" s="90" t="s">
        <v>224</v>
      </c>
      <c r="C184" s="91"/>
      <c r="D184" s="92"/>
      <c r="E184" s="49">
        <f>+G184</f>
        <v>4.4702250000000001</v>
      </c>
      <c r="F184" s="49"/>
      <c r="G184" s="49">
        <f>4470.225/1000</f>
        <v>4.4702250000000001</v>
      </c>
      <c r="H184" s="49">
        <f>J184</f>
        <v>11.64048</v>
      </c>
      <c r="I184" s="49"/>
      <c r="J184" s="49">
        <f>11640.48/1000</f>
        <v>11.64048</v>
      </c>
    </row>
    <row r="185" spans="1:10" x14ac:dyDescent="0.25">
      <c r="A185" s="116"/>
      <c r="B185" s="90" t="s">
        <v>359</v>
      </c>
      <c r="C185" s="91"/>
      <c r="D185" s="92"/>
      <c r="E185" s="49">
        <f>+G185</f>
        <v>11.409754786019999</v>
      </c>
      <c r="F185" s="49"/>
      <c r="G185" s="49">
        <f>11409.75478602/1000</f>
        <v>11.409754786019999</v>
      </c>
      <c r="H185" s="49">
        <f>+J185</f>
        <v>10.695379999999998</v>
      </c>
      <c r="I185" s="49"/>
      <c r="J185" s="49">
        <f>10695.38/1000</f>
        <v>10.695379999999998</v>
      </c>
    </row>
    <row r="186" spans="1:10" x14ac:dyDescent="0.25">
      <c r="A186" s="116"/>
      <c r="B186" s="90" t="s">
        <v>408</v>
      </c>
      <c r="C186" s="91"/>
      <c r="D186" s="92"/>
      <c r="E186" s="49">
        <f>+G186</f>
        <v>10.666381802030301</v>
      </c>
      <c r="F186" s="49"/>
      <c r="G186" s="49">
        <f>10666.3818020303/1000</f>
        <v>10.666381802030301</v>
      </c>
      <c r="H186" s="49">
        <f>+J186</f>
        <v>11.978219999999999</v>
      </c>
      <c r="I186" s="49"/>
      <c r="J186" s="49">
        <f>11978.22/1000</f>
        <v>11.978219999999999</v>
      </c>
    </row>
    <row r="187" spans="1:10" x14ac:dyDescent="0.25">
      <c r="A187" s="116"/>
      <c r="B187" s="90" t="s">
        <v>465</v>
      </c>
      <c r="C187" s="91"/>
      <c r="D187" s="92"/>
      <c r="E187" s="49">
        <f>+G187</f>
        <v>16.099008411949701</v>
      </c>
      <c r="F187" s="49"/>
      <c r="G187" s="49">
        <f>16099.0084119497/1000</f>
        <v>16.099008411949701</v>
      </c>
      <c r="H187" s="49">
        <f>+J187</f>
        <v>10.538069999999999</v>
      </c>
      <c r="I187" s="49"/>
      <c r="J187" s="49">
        <f>10538.07/1000</f>
        <v>10.538069999999999</v>
      </c>
    </row>
    <row r="188" spans="1:10" x14ac:dyDescent="0.25">
      <c r="A188" s="116"/>
      <c r="B188" s="90" t="s">
        <v>259</v>
      </c>
      <c r="C188" s="91"/>
      <c r="D188" s="92"/>
      <c r="E188" s="49">
        <f t="shared" ref="E188:E191" si="32">G188</f>
        <v>6.8486215460925575</v>
      </c>
      <c r="F188" s="49"/>
      <c r="G188" s="49">
        <f>J188</f>
        <v>6.8486215460925575</v>
      </c>
      <c r="H188" s="49">
        <f>J188</f>
        <v>6.8486215460925575</v>
      </c>
      <c r="I188" s="49"/>
      <c r="J188" s="49">
        <f>6597.64/1000+250.981546092557/1000</f>
        <v>6.8486215460925575</v>
      </c>
    </row>
    <row r="189" spans="1:10" x14ac:dyDescent="0.25">
      <c r="A189" s="116"/>
      <c r="B189" s="90" t="s">
        <v>360</v>
      </c>
      <c r="C189" s="91"/>
      <c r="D189" s="92"/>
      <c r="E189" s="49">
        <f t="shared" si="32"/>
        <v>6.4201799201667775</v>
      </c>
      <c r="F189" s="49"/>
      <c r="G189" s="49">
        <f>J189</f>
        <v>6.4201799201667775</v>
      </c>
      <c r="H189" s="49">
        <f>J189</f>
        <v>6.4201799201667775</v>
      </c>
      <c r="I189" s="49"/>
      <c r="J189" s="49">
        <f>5976.55/1000+443.629920166777/1000</f>
        <v>6.4201799201667775</v>
      </c>
    </row>
    <row r="190" spans="1:10" x14ac:dyDescent="0.25">
      <c r="A190" s="116"/>
      <c r="B190" s="90" t="s">
        <v>409</v>
      </c>
      <c r="C190" s="91"/>
      <c r="D190" s="92"/>
      <c r="E190" s="49">
        <f t="shared" si="32"/>
        <v>5.7974517083293522</v>
      </c>
      <c r="F190" s="49"/>
      <c r="G190" s="49">
        <f>J190</f>
        <v>5.7974517083293522</v>
      </c>
      <c r="H190" s="49">
        <f>J190</f>
        <v>5.7974517083293522</v>
      </c>
      <c r="I190" s="49"/>
      <c r="J190" s="49">
        <f>5445.1/1000+352.351708329352/1000</f>
        <v>5.7974517083293522</v>
      </c>
    </row>
    <row r="191" spans="1:10" x14ac:dyDescent="0.25">
      <c r="A191" s="117"/>
      <c r="B191" s="90" t="s">
        <v>452</v>
      </c>
      <c r="C191" s="91"/>
      <c r="D191" s="92"/>
      <c r="E191" s="49">
        <f t="shared" si="32"/>
        <v>3.9723226282941804</v>
      </c>
      <c r="F191" s="49"/>
      <c r="G191" s="49">
        <f>J191</f>
        <v>3.9723226282941804</v>
      </c>
      <c r="H191" s="49">
        <f>J191</f>
        <v>3.9723226282941804</v>
      </c>
      <c r="I191" s="49"/>
      <c r="J191" s="49">
        <f>3748.03/1000+224.29262829418/1000</f>
        <v>3.9723226282941804</v>
      </c>
    </row>
    <row r="192" spans="1:10" ht="42.75" x14ac:dyDescent="0.25">
      <c r="A192" s="115" t="s">
        <v>26</v>
      </c>
      <c r="B192" s="89" t="s">
        <v>65</v>
      </c>
      <c r="C192" s="89" t="s">
        <v>66</v>
      </c>
      <c r="D192" s="122">
        <f>2969874/1000</f>
        <v>2969.8739999999998</v>
      </c>
      <c r="E192" s="49">
        <f>G192</f>
        <v>576.255</v>
      </c>
      <c r="F192" s="6" t="s">
        <v>67</v>
      </c>
      <c r="G192" s="49">
        <f>576255/1000</f>
        <v>576.255</v>
      </c>
      <c r="H192" s="49">
        <f t="shared" si="21"/>
        <v>450</v>
      </c>
      <c r="I192" s="6" t="s">
        <v>310</v>
      </c>
      <c r="J192" s="49">
        <f>450000/1000</f>
        <v>450</v>
      </c>
    </row>
    <row r="193" spans="1:10" ht="28.5" x14ac:dyDescent="0.25">
      <c r="A193" s="116"/>
      <c r="B193" s="89"/>
      <c r="C193" s="89"/>
      <c r="D193" s="122"/>
      <c r="E193" s="49">
        <f>G193</f>
        <v>576.255</v>
      </c>
      <c r="F193" s="6" t="s">
        <v>88</v>
      </c>
      <c r="G193" s="49">
        <f>576255/1000</f>
        <v>576.255</v>
      </c>
      <c r="H193" s="49"/>
      <c r="I193" s="49"/>
      <c r="J193" s="49"/>
    </row>
    <row r="194" spans="1:10" ht="28.5" x14ac:dyDescent="0.25">
      <c r="A194" s="116"/>
      <c r="B194" s="48" t="s">
        <v>69</v>
      </c>
      <c r="C194" s="48" t="s">
        <v>70</v>
      </c>
      <c r="D194" s="49">
        <f>3500905.02/1000</f>
        <v>3500.9050200000001</v>
      </c>
      <c r="E194" s="49">
        <f>G194</f>
        <v>2450.7237799999998</v>
      </c>
      <c r="F194" s="6" t="s">
        <v>71</v>
      </c>
      <c r="G194" s="49">
        <f>2450723.78/1000</f>
        <v>2450.7237799999998</v>
      </c>
      <c r="H194" s="49"/>
      <c r="I194" s="49"/>
      <c r="J194" s="49"/>
    </row>
    <row r="195" spans="1:10" ht="28.5" x14ac:dyDescent="0.25">
      <c r="A195" s="116"/>
      <c r="B195" s="93" t="s">
        <v>362</v>
      </c>
      <c r="C195" s="89" t="s">
        <v>363</v>
      </c>
      <c r="D195" s="122">
        <v>4527.2</v>
      </c>
      <c r="E195" s="49">
        <f t="shared" ref="E195:E197" si="33">G195</f>
        <v>1035.7560000000001</v>
      </c>
      <c r="F195" s="6" t="s">
        <v>393</v>
      </c>
      <c r="G195" s="49">
        <f>1035756/1000</f>
        <v>1035.7560000000001</v>
      </c>
      <c r="H195" s="49">
        <f t="shared" ref="H195:H201" si="34">J195</f>
        <v>425.6748</v>
      </c>
      <c r="I195" s="6" t="s">
        <v>364</v>
      </c>
      <c r="J195" s="49">
        <f>354729*1.2/1000</f>
        <v>425.6748</v>
      </c>
    </row>
    <row r="196" spans="1:10" ht="28.5" x14ac:dyDescent="0.25">
      <c r="A196" s="116"/>
      <c r="B196" s="99"/>
      <c r="C196" s="89"/>
      <c r="D196" s="122"/>
      <c r="E196" s="49">
        <f t="shared" si="33"/>
        <v>425.6748</v>
      </c>
      <c r="F196" s="6" t="s">
        <v>394</v>
      </c>
      <c r="G196" s="49">
        <f>425674.8/1000</f>
        <v>425.6748</v>
      </c>
      <c r="H196" s="49">
        <f t="shared" si="34"/>
        <v>1035.7560000000001</v>
      </c>
      <c r="I196" s="6" t="s">
        <v>365</v>
      </c>
      <c r="J196" s="49">
        <f>863130*1.2/1000</f>
        <v>1035.7560000000001</v>
      </c>
    </row>
    <row r="197" spans="1:10" ht="28.5" x14ac:dyDescent="0.25">
      <c r="A197" s="116"/>
      <c r="B197" s="99"/>
      <c r="C197" s="89"/>
      <c r="D197" s="122"/>
      <c r="E197" s="49">
        <f t="shared" si="33"/>
        <v>2847.5243999999998</v>
      </c>
      <c r="F197" s="6" t="s">
        <v>419</v>
      </c>
      <c r="G197" s="49">
        <f>2847524.4/1000</f>
        <v>2847.5243999999998</v>
      </c>
      <c r="H197" s="49">
        <f t="shared" si="34"/>
        <v>2847.5243999999998</v>
      </c>
      <c r="I197" s="6" t="s">
        <v>374</v>
      </c>
      <c r="J197" s="49">
        <f>2372937*1.2/1000</f>
        <v>2847.5243999999998</v>
      </c>
    </row>
    <row r="198" spans="1:10" ht="28.5" x14ac:dyDescent="0.25">
      <c r="A198" s="116"/>
      <c r="B198" s="99"/>
      <c r="C198" s="93" t="s">
        <v>467</v>
      </c>
      <c r="D198" s="122">
        <v>5058</v>
      </c>
      <c r="E198" s="49"/>
      <c r="F198" s="6"/>
      <c r="G198" s="49"/>
      <c r="H198" s="49">
        <f t="shared" si="34"/>
        <v>1871.0423999999998</v>
      </c>
      <c r="I198" s="6" t="s">
        <v>466</v>
      </c>
      <c r="J198" s="49">
        <f>1559202*1.2/1000</f>
        <v>1871.0423999999998</v>
      </c>
    </row>
    <row r="199" spans="1:10" ht="28.5" x14ac:dyDescent="0.25">
      <c r="A199" s="116"/>
      <c r="B199" s="94"/>
      <c r="C199" s="94"/>
      <c r="D199" s="122"/>
      <c r="E199" s="49"/>
      <c r="F199" s="6"/>
      <c r="G199" s="49"/>
      <c r="H199" s="49">
        <f t="shared" si="34"/>
        <v>2777.9591999999998</v>
      </c>
      <c r="I199" s="6" t="s">
        <v>468</v>
      </c>
      <c r="J199" s="49">
        <f>2314966*1.2/1000</f>
        <v>2777.9591999999998</v>
      </c>
    </row>
    <row r="200" spans="1:10" ht="28.5" x14ac:dyDescent="0.25">
      <c r="A200" s="116"/>
      <c r="B200" s="93" t="s">
        <v>469</v>
      </c>
      <c r="C200" s="93" t="s">
        <v>470</v>
      </c>
      <c r="D200" s="109">
        <v>1787.7248400000001</v>
      </c>
      <c r="E200" s="49"/>
      <c r="F200" s="6"/>
      <c r="G200" s="49"/>
      <c r="H200" s="49">
        <f t="shared" si="34"/>
        <v>1368.0684839999999</v>
      </c>
      <c r="I200" s="6" t="s">
        <v>471</v>
      </c>
      <c r="J200" s="49">
        <f>1140057.07*1.2/1000</f>
        <v>1368.0684839999999</v>
      </c>
    </row>
    <row r="201" spans="1:10" ht="28.5" x14ac:dyDescent="0.25">
      <c r="A201" s="116"/>
      <c r="B201" s="94"/>
      <c r="C201" s="94"/>
      <c r="D201" s="111"/>
      <c r="E201" s="49"/>
      <c r="F201" s="6"/>
      <c r="G201" s="49"/>
      <c r="H201" s="49">
        <f t="shared" si="34"/>
        <v>162.07041599999999</v>
      </c>
      <c r="I201" s="6" t="s">
        <v>472</v>
      </c>
      <c r="J201" s="49">
        <f>135058.68*1.2/1000</f>
        <v>162.07041599999999</v>
      </c>
    </row>
    <row r="202" spans="1:10" x14ac:dyDescent="0.25">
      <c r="A202" s="116"/>
      <c r="B202" s="89" t="s">
        <v>224</v>
      </c>
      <c r="C202" s="89"/>
      <c r="D202" s="89"/>
      <c r="E202" s="49">
        <f>G202</f>
        <v>7.9963199999999999</v>
      </c>
      <c r="F202" s="49"/>
      <c r="G202" s="49">
        <f>7996.32/1000</f>
        <v>7.9963199999999999</v>
      </c>
      <c r="H202" s="49">
        <f>J202</f>
        <v>20.822470000000003</v>
      </c>
      <c r="I202" s="49"/>
      <c r="J202" s="49">
        <f>20822.47/1000</f>
        <v>20.822470000000003</v>
      </c>
    </row>
    <row r="203" spans="1:10" x14ac:dyDescent="0.25">
      <c r="A203" s="116"/>
      <c r="B203" s="90" t="s">
        <v>359</v>
      </c>
      <c r="C203" s="91"/>
      <c r="D203" s="92"/>
      <c r="E203" s="49">
        <f>+G203</f>
        <v>21.34515288159772</v>
      </c>
      <c r="F203" s="49"/>
      <c r="G203" s="49">
        <f>4455.78152639087/1000+12826.15/1000+4063.22135520685/1000</f>
        <v>21.34515288159772</v>
      </c>
      <c r="H203" s="49">
        <f>+J203</f>
        <v>21.494199999999999</v>
      </c>
      <c r="I203" s="49"/>
      <c r="J203" s="49">
        <f>(10239.61+11254.59)/1000</f>
        <v>21.494199999999999</v>
      </c>
    </row>
    <row r="204" spans="1:10" x14ac:dyDescent="0.25">
      <c r="A204" s="116"/>
      <c r="B204" s="90" t="s">
        <v>408</v>
      </c>
      <c r="C204" s="91"/>
      <c r="D204" s="92"/>
      <c r="E204" s="49">
        <f>+G204</f>
        <v>21.198874539786001</v>
      </c>
      <c r="F204" s="49"/>
      <c r="G204" s="49">
        <f>10177.9596982523/1000+11020.9148415337/1000</f>
        <v>21.198874539786001</v>
      </c>
      <c r="H204" s="49">
        <f>+J204</f>
        <v>23.375499999999999</v>
      </c>
      <c r="I204" s="49"/>
      <c r="J204" s="49">
        <f>(11366.84+12008.66)/1000</f>
        <v>23.375499999999999</v>
      </c>
    </row>
    <row r="205" spans="1:10" x14ac:dyDescent="0.25">
      <c r="A205" s="116"/>
      <c r="B205" s="90" t="s">
        <v>465</v>
      </c>
      <c r="C205" s="91"/>
      <c r="D205" s="92"/>
      <c r="E205" s="49">
        <f>+G205</f>
        <v>15.151822578616301</v>
      </c>
      <c r="F205" s="49"/>
      <c r="G205" s="49">
        <f>15151.8225786163/1000</f>
        <v>15.151822578616301</v>
      </c>
      <c r="H205" s="49">
        <f>+J205</f>
        <v>0</v>
      </c>
      <c r="I205" s="49"/>
      <c r="J205" s="49"/>
    </row>
    <row r="206" spans="1:10" x14ac:dyDescent="0.25">
      <c r="A206" s="116"/>
      <c r="B206" s="90" t="s">
        <v>259</v>
      </c>
      <c r="C206" s="91"/>
      <c r="D206" s="92"/>
      <c r="E206" s="49">
        <f t="shared" ref="E206:E208" si="35">G206</f>
        <v>198.21643078917145</v>
      </c>
      <c r="F206" s="49"/>
      <c r="G206" s="49">
        <f>J206</f>
        <v>198.21643078917145</v>
      </c>
      <c r="H206" s="49">
        <f>J206</f>
        <v>198.21643078917145</v>
      </c>
      <c r="I206" s="49"/>
      <c r="J206" s="49">
        <f>190952.39/1000+7264.04078917144/1000</f>
        <v>198.21643078917145</v>
      </c>
    </row>
    <row r="207" spans="1:10" x14ac:dyDescent="0.25">
      <c r="A207" s="116"/>
      <c r="B207" s="90" t="s">
        <v>360</v>
      </c>
      <c r="C207" s="91"/>
      <c r="D207" s="92"/>
      <c r="E207" s="49">
        <f t="shared" si="35"/>
        <v>136.59247394806104</v>
      </c>
      <c r="F207" s="49"/>
      <c r="G207" s="49">
        <f>J207</f>
        <v>136.59247394806104</v>
      </c>
      <c r="H207" s="49">
        <f>J207</f>
        <v>136.59247394806104</v>
      </c>
      <c r="I207" s="49"/>
      <c r="J207" s="49">
        <f>127154.03/1000+9438.44394806103/1000</f>
        <v>136.59247394806104</v>
      </c>
    </row>
    <row r="208" spans="1:10" x14ac:dyDescent="0.25">
      <c r="A208" s="117"/>
      <c r="B208" s="90" t="s">
        <v>409</v>
      </c>
      <c r="C208" s="91"/>
      <c r="D208" s="92"/>
      <c r="E208" s="49">
        <f t="shared" si="35"/>
        <v>183.99825126831522</v>
      </c>
      <c r="F208" s="49"/>
      <c r="G208" s="49">
        <f>J208</f>
        <v>183.99825126831522</v>
      </c>
      <c r="H208" s="49">
        <f>J208</f>
        <v>183.99825126831522</v>
      </c>
      <c r="I208" s="49"/>
      <c r="J208" s="49">
        <f>172815.39/1000+11182.8612683152/1000</f>
        <v>183.99825126831522</v>
      </c>
    </row>
    <row r="209" spans="1:12" x14ac:dyDescent="0.25">
      <c r="A209" s="54" t="s">
        <v>13</v>
      </c>
      <c r="B209" s="88"/>
      <c r="C209" s="88"/>
      <c r="D209" s="88"/>
      <c r="E209" s="15">
        <f>SUM(E10:E208)</f>
        <v>36775.844929175721</v>
      </c>
      <c r="F209" s="15"/>
      <c r="G209" s="15">
        <f>SUM(G10:G208)</f>
        <v>36775.844929175721</v>
      </c>
      <c r="H209" s="15">
        <f>SUM(H10:H208)</f>
        <v>40694.505231134783</v>
      </c>
      <c r="I209" s="15"/>
      <c r="J209" s="15">
        <f>SUM(J10:J208)</f>
        <v>40694.505231134783</v>
      </c>
      <c r="K209" s="67">
        <f>'[1]ИП 2019-2024'!$Q$300</f>
        <v>36775.844927975711</v>
      </c>
      <c r="L209" s="67">
        <f>'[1]ИП 2019-2024'!$Q$303</f>
        <v>40694.505231134768</v>
      </c>
    </row>
    <row r="210" spans="1:12" ht="27.75" customHeight="1" x14ac:dyDescent="0.25">
      <c r="A210" s="95" t="s">
        <v>14</v>
      </c>
      <c r="B210" s="95"/>
      <c r="C210" s="95"/>
      <c r="D210" s="95"/>
      <c r="E210" s="95"/>
      <c r="F210" s="95"/>
      <c r="G210" s="95"/>
      <c r="H210" s="95"/>
      <c r="I210" s="95"/>
      <c r="J210" s="95"/>
      <c r="K210" s="67">
        <f>E209-K209</f>
        <v>1.2000091373920441E-6</v>
      </c>
      <c r="L210" s="67">
        <f>J209-L209</f>
        <v>0</v>
      </c>
    </row>
    <row r="211" spans="1:12" ht="42.75" x14ac:dyDescent="0.25">
      <c r="A211" s="115" t="s">
        <v>53</v>
      </c>
      <c r="B211" s="47" t="s">
        <v>473</v>
      </c>
      <c r="C211" s="47" t="s">
        <v>474</v>
      </c>
      <c r="D211" s="10">
        <v>294</v>
      </c>
      <c r="E211" s="10"/>
      <c r="F211" s="10"/>
      <c r="G211" s="10"/>
      <c r="H211" s="49">
        <f t="shared" ref="H211:H400" si="36">J211</f>
        <v>294</v>
      </c>
      <c r="I211" s="47" t="s">
        <v>466</v>
      </c>
      <c r="J211" s="49">
        <f>245000*1.2/1000</f>
        <v>294</v>
      </c>
    </row>
    <row r="212" spans="1:12" x14ac:dyDescent="0.25">
      <c r="A212" s="116"/>
      <c r="B212" s="89" t="s">
        <v>22</v>
      </c>
      <c r="C212" s="89"/>
      <c r="D212" s="89"/>
      <c r="E212" s="49">
        <f t="shared" ref="E212:E400" si="37">G212</f>
        <v>5.62984990757856</v>
      </c>
      <c r="F212" s="49"/>
      <c r="G212" s="49">
        <v>5.62984990757856</v>
      </c>
      <c r="H212" s="49">
        <f t="shared" si="36"/>
        <v>24.78473</v>
      </c>
      <c r="I212" s="49"/>
      <c r="J212" s="49">
        <v>24.78473</v>
      </c>
    </row>
    <row r="213" spans="1:12" x14ac:dyDescent="0.25">
      <c r="A213" s="116"/>
      <c r="B213" s="89" t="s">
        <v>27</v>
      </c>
      <c r="C213" s="89"/>
      <c r="D213" s="89"/>
      <c r="E213" s="49">
        <f t="shared" si="37"/>
        <v>39.1591450018119</v>
      </c>
      <c r="F213" s="49"/>
      <c r="G213" s="49">
        <v>39.1591450018119</v>
      </c>
      <c r="H213" s="49">
        <f t="shared" si="36"/>
        <v>49.405110000000001</v>
      </c>
      <c r="I213" s="49"/>
      <c r="J213" s="49">
        <v>49.405110000000001</v>
      </c>
    </row>
    <row r="214" spans="1:12" x14ac:dyDescent="0.25">
      <c r="A214" s="116"/>
      <c r="B214" s="89" t="s">
        <v>28</v>
      </c>
      <c r="C214" s="89"/>
      <c r="D214" s="89"/>
      <c r="E214" s="49">
        <f t="shared" si="37"/>
        <v>56.886302029688295</v>
      </c>
      <c r="F214" s="49"/>
      <c r="G214" s="49">
        <v>56.886302029688295</v>
      </c>
      <c r="H214" s="49">
        <f>J214</f>
        <v>83.916479999999993</v>
      </c>
      <c r="I214" s="49"/>
      <c r="J214" s="49">
        <v>83.916479999999993</v>
      </c>
    </row>
    <row r="215" spans="1:12" x14ac:dyDescent="0.25">
      <c r="A215" s="116"/>
      <c r="B215" s="89" t="s">
        <v>208</v>
      </c>
      <c r="C215" s="89"/>
      <c r="D215" s="89"/>
      <c r="E215" s="49">
        <f>+G215</f>
        <v>56.431023060921305</v>
      </c>
      <c r="F215" s="49"/>
      <c r="G215" s="49">
        <f>56431.0230609213/1000</f>
        <v>56.431023060921305</v>
      </c>
      <c r="H215" s="49"/>
      <c r="I215" s="49"/>
      <c r="J215" s="49"/>
    </row>
    <row r="216" spans="1:12" x14ac:dyDescent="0.25">
      <c r="A216" s="116"/>
      <c r="B216" s="90" t="s">
        <v>465</v>
      </c>
      <c r="C216" s="91"/>
      <c r="D216" s="92"/>
      <c r="E216" s="49">
        <f>+G216</f>
        <v>69.028300000000002</v>
      </c>
      <c r="F216" s="49"/>
      <c r="G216" s="49">
        <f>69028.3/1000</f>
        <v>69.028300000000002</v>
      </c>
      <c r="H216" s="49">
        <f>+J216</f>
        <v>87.42259</v>
      </c>
      <c r="I216" s="49"/>
      <c r="J216" s="49">
        <f>87422.59/1000</f>
        <v>87.42259</v>
      </c>
    </row>
    <row r="217" spans="1:12" x14ac:dyDescent="0.25">
      <c r="A217" s="116"/>
      <c r="B217" s="90" t="s">
        <v>259</v>
      </c>
      <c r="C217" s="91"/>
      <c r="D217" s="92"/>
      <c r="E217" s="49">
        <f t="shared" ref="E217:E221" si="38">G217</f>
        <v>5.2967708481191238</v>
      </c>
      <c r="F217" s="49"/>
      <c r="G217" s="49">
        <f>J217</f>
        <v>5.2967708481191238</v>
      </c>
      <c r="H217" s="49">
        <f>J217</f>
        <v>5.2967708481191238</v>
      </c>
      <c r="I217" s="49"/>
      <c r="J217" s="49">
        <f>5102.66/1000+194.110848119124/1000</f>
        <v>5.2967708481191238</v>
      </c>
    </row>
    <row r="218" spans="1:12" x14ac:dyDescent="0.25">
      <c r="A218" s="116"/>
      <c r="B218" s="90" t="s">
        <v>360</v>
      </c>
      <c r="C218" s="91"/>
      <c r="D218" s="92"/>
      <c r="E218" s="49">
        <f t="shared" si="38"/>
        <v>4.9654275541215762</v>
      </c>
      <c r="F218" s="49"/>
      <c r="G218" s="49">
        <f>J218</f>
        <v>4.9654275541215762</v>
      </c>
      <c r="H218" s="49">
        <f>J218</f>
        <v>4.9654275541215762</v>
      </c>
      <c r="I218" s="49"/>
      <c r="J218" s="49">
        <f>4622.32/1000+343.107554121577/1000</f>
        <v>4.9654275541215762</v>
      </c>
    </row>
    <row r="219" spans="1:12" x14ac:dyDescent="0.25">
      <c r="A219" s="116"/>
      <c r="B219" s="90" t="s">
        <v>409</v>
      </c>
      <c r="C219" s="91"/>
      <c r="D219" s="92"/>
      <c r="E219" s="49">
        <f t="shared" si="38"/>
        <v>4.4838020247140209</v>
      </c>
      <c r="F219" s="49"/>
      <c r="G219" s="49">
        <f>J219</f>
        <v>4.4838020247140209</v>
      </c>
      <c r="H219" s="49">
        <f>J219</f>
        <v>4.4838020247140209</v>
      </c>
      <c r="I219" s="49"/>
      <c r="J219" s="49">
        <f>4211.29/1000+272.512024714021/1000</f>
        <v>4.4838020247140209</v>
      </c>
    </row>
    <row r="220" spans="1:12" x14ac:dyDescent="0.25">
      <c r="A220" s="117"/>
      <c r="B220" s="90" t="s">
        <v>452</v>
      </c>
      <c r="C220" s="91"/>
      <c r="D220" s="92"/>
      <c r="E220" s="49">
        <f t="shared" si="38"/>
        <v>2.9687044841322678</v>
      </c>
      <c r="F220" s="49"/>
      <c r="G220" s="49">
        <f>J220</f>
        <v>2.9687044841322678</v>
      </c>
      <c r="H220" s="49">
        <f>J220</f>
        <v>2.9687044841322678</v>
      </c>
      <c r="I220" s="49"/>
      <c r="J220" s="49">
        <f>2801.08/1000+167.624484132268/1000</f>
        <v>2.9687044841322678</v>
      </c>
    </row>
    <row r="221" spans="1:12" x14ac:dyDescent="0.25">
      <c r="A221" s="115" t="s">
        <v>260</v>
      </c>
      <c r="B221" s="89" t="s">
        <v>224</v>
      </c>
      <c r="C221" s="89"/>
      <c r="D221" s="89"/>
      <c r="E221" s="49">
        <f t="shared" si="38"/>
        <v>14.63599</v>
      </c>
      <c r="F221" s="49"/>
      <c r="G221" s="49">
        <f>14635.99/1000</f>
        <v>14.63599</v>
      </c>
      <c r="H221" s="49">
        <f>J221</f>
        <v>38.11186</v>
      </c>
      <c r="I221" s="49"/>
      <c r="J221" s="49">
        <f>38111.86/1000</f>
        <v>38.11186</v>
      </c>
    </row>
    <row r="222" spans="1:12" x14ac:dyDescent="0.25">
      <c r="A222" s="116"/>
      <c r="B222" s="90" t="s">
        <v>359</v>
      </c>
      <c r="C222" s="91"/>
      <c r="D222" s="92"/>
      <c r="E222" s="49">
        <f>+G222</f>
        <v>37.930650970042798</v>
      </c>
      <c r="F222" s="49"/>
      <c r="G222" s="49">
        <f>37930.6509700428/1000</f>
        <v>37.930650970042798</v>
      </c>
      <c r="H222" s="49">
        <f>+J222</f>
        <v>36.409300000000002</v>
      </c>
      <c r="I222" s="49"/>
      <c r="J222" s="49">
        <f>36409.3/1000</f>
        <v>36.409300000000002</v>
      </c>
    </row>
    <row r="223" spans="1:12" x14ac:dyDescent="0.25">
      <c r="A223" s="116"/>
      <c r="B223" s="90" t="s">
        <v>408</v>
      </c>
      <c r="C223" s="91"/>
      <c r="D223" s="92"/>
      <c r="E223" s="49">
        <f>+G223</f>
        <v>36.473242221781106</v>
      </c>
      <c r="F223" s="49"/>
      <c r="G223" s="49">
        <f>36473.2422217811/1000</f>
        <v>36.473242221781106</v>
      </c>
      <c r="H223" s="49">
        <f>+J223</f>
        <v>41.241410000000002</v>
      </c>
      <c r="I223" s="49"/>
      <c r="J223" s="49">
        <f>41241.41/1000</f>
        <v>41.241410000000002</v>
      </c>
    </row>
    <row r="224" spans="1:12" x14ac:dyDescent="0.25">
      <c r="A224" s="116"/>
      <c r="B224" s="90" t="s">
        <v>465</v>
      </c>
      <c r="C224" s="91"/>
      <c r="D224" s="92"/>
      <c r="E224" s="49">
        <f>+G224</f>
        <v>54.863056808176104</v>
      </c>
      <c r="F224" s="49"/>
      <c r="G224" s="49">
        <f>54863.0568081761/1000</f>
        <v>54.863056808176104</v>
      </c>
      <c r="H224" s="49">
        <f>+J224</f>
        <v>35.537769999999995</v>
      </c>
      <c r="I224" s="49"/>
      <c r="J224" s="49">
        <f>35537.77/1000</f>
        <v>35.537769999999995</v>
      </c>
    </row>
    <row r="225" spans="1:10" x14ac:dyDescent="0.25">
      <c r="A225" s="116"/>
      <c r="B225" s="90" t="s">
        <v>259</v>
      </c>
      <c r="C225" s="91"/>
      <c r="D225" s="92"/>
      <c r="E225" s="49">
        <f t="shared" ref="E225:E228" si="39">G225</f>
        <v>418.76685583195251</v>
      </c>
      <c r="F225" s="49"/>
      <c r="G225" s="49">
        <f>J225</f>
        <v>418.76685583195251</v>
      </c>
      <c r="H225" s="49">
        <f>J225</f>
        <v>418.76685583195251</v>
      </c>
      <c r="I225" s="49"/>
      <c r="J225" s="49">
        <f>403420.3/1000+15346.5558319525/1000</f>
        <v>418.76685583195251</v>
      </c>
    </row>
    <row r="226" spans="1:10" x14ac:dyDescent="0.25">
      <c r="A226" s="116"/>
      <c r="B226" s="90" t="s">
        <v>360</v>
      </c>
      <c r="C226" s="91"/>
      <c r="D226" s="92"/>
      <c r="E226" s="49">
        <f t="shared" si="39"/>
        <v>392.5698615198171</v>
      </c>
      <c r="F226" s="49"/>
      <c r="G226" s="49">
        <f>J226</f>
        <v>392.5698615198171</v>
      </c>
      <c r="H226" s="49">
        <f>J226</f>
        <v>392.5698615198171</v>
      </c>
      <c r="I226" s="49"/>
      <c r="J226" s="49">
        <f>365443.56/1000+27126.3015198171/1000</f>
        <v>392.5698615198171</v>
      </c>
    </row>
    <row r="227" spans="1:10" x14ac:dyDescent="0.25">
      <c r="A227" s="116"/>
      <c r="B227" s="90" t="s">
        <v>409</v>
      </c>
      <c r="C227" s="91"/>
      <c r="D227" s="92"/>
      <c r="E227" s="49">
        <f t="shared" si="39"/>
        <v>354.4915522031705</v>
      </c>
      <c r="F227" s="49"/>
      <c r="G227" s="49">
        <f>J227</f>
        <v>354.4915522031705</v>
      </c>
      <c r="H227" s="49">
        <f>J227</f>
        <v>354.4915522031705</v>
      </c>
      <c r="I227" s="49"/>
      <c r="J227" s="49">
        <f>332946.62/1000+21544.9322031705/1000</f>
        <v>354.4915522031705</v>
      </c>
    </row>
    <row r="228" spans="1:10" x14ac:dyDescent="0.25">
      <c r="A228" s="117"/>
      <c r="B228" s="90" t="s">
        <v>452</v>
      </c>
      <c r="C228" s="91"/>
      <c r="D228" s="92"/>
      <c r="E228" s="49">
        <f t="shared" si="39"/>
        <v>281.01604792518947</v>
      </c>
      <c r="F228" s="49"/>
      <c r="G228" s="49">
        <f>J228</f>
        <v>281.01604792518947</v>
      </c>
      <c r="H228" s="49">
        <f>J228</f>
        <v>281.01604792518947</v>
      </c>
      <c r="I228" s="49"/>
      <c r="J228" s="49">
        <f>265148.8/1000+15867.2479251895/1000</f>
        <v>281.01604792518947</v>
      </c>
    </row>
    <row r="229" spans="1:10" ht="28.5" x14ac:dyDescent="0.25">
      <c r="A229" s="115" t="s">
        <v>23</v>
      </c>
      <c r="B229" s="93" t="s">
        <v>73</v>
      </c>
      <c r="C229" s="93" t="s">
        <v>74</v>
      </c>
      <c r="D229" s="109">
        <f>10562094.55/1000</f>
        <v>10562.094550000002</v>
      </c>
      <c r="E229" s="49">
        <f t="shared" ref="E229:E234" si="40">G229</f>
        <v>571.64494999999999</v>
      </c>
      <c r="F229" s="6" t="s">
        <v>76</v>
      </c>
      <c r="G229" s="49">
        <f>571644.95/1000</f>
        <v>571.64494999999999</v>
      </c>
      <c r="H229" s="49"/>
      <c r="I229" s="49"/>
      <c r="J229" s="49"/>
    </row>
    <row r="230" spans="1:10" ht="28.5" x14ac:dyDescent="0.25">
      <c r="A230" s="116"/>
      <c r="B230" s="94"/>
      <c r="C230" s="94"/>
      <c r="D230" s="111"/>
      <c r="E230" s="49">
        <f t="shared" si="40"/>
        <v>285.82247999999998</v>
      </c>
      <c r="F230" s="6" t="s">
        <v>426</v>
      </c>
      <c r="G230" s="49">
        <f>285822.48/1000</f>
        <v>285.82247999999998</v>
      </c>
      <c r="H230" s="49"/>
      <c r="I230" s="49"/>
      <c r="J230" s="49"/>
    </row>
    <row r="231" spans="1:10" ht="42.75" x14ac:dyDescent="0.25">
      <c r="A231" s="116"/>
      <c r="B231" s="93" t="s">
        <v>81</v>
      </c>
      <c r="C231" s="93" t="s">
        <v>82</v>
      </c>
      <c r="D231" s="109">
        <f>9738510.57/1000</f>
        <v>9738.5105700000004</v>
      </c>
      <c r="E231" s="49">
        <f t="shared" si="40"/>
        <v>871.97925999999995</v>
      </c>
      <c r="F231" s="6" t="s">
        <v>83</v>
      </c>
      <c r="G231" s="49">
        <f>871979.26/1000</f>
        <v>871.97925999999995</v>
      </c>
      <c r="H231" s="49">
        <f>+J231</f>
        <v>2886.1350119999997</v>
      </c>
      <c r="I231" s="6" t="s">
        <v>171</v>
      </c>
      <c r="J231" s="49">
        <f>2405112.51/1000*1.2</f>
        <v>2886.1350119999997</v>
      </c>
    </row>
    <row r="232" spans="1:10" ht="42.75" x14ac:dyDescent="0.25">
      <c r="A232" s="116"/>
      <c r="B232" s="99"/>
      <c r="C232" s="99"/>
      <c r="D232" s="110"/>
      <c r="E232" s="49">
        <f t="shared" si="40"/>
        <v>2200</v>
      </c>
      <c r="F232" s="6" t="s">
        <v>244</v>
      </c>
      <c r="G232" s="49">
        <f>2200000/1000</f>
        <v>2200</v>
      </c>
      <c r="H232" s="49">
        <f>+J232</f>
        <v>250.03355999999999</v>
      </c>
      <c r="I232" s="25" t="s">
        <v>304</v>
      </c>
      <c r="J232" s="49">
        <f>(119431.2+130602.36)/1000</f>
        <v>250.03355999999999</v>
      </c>
    </row>
    <row r="233" spans="1:10" ht="42.75" x14ac:dyDescent="0.25">
      <c r="A233" s="116"/>
      <c r="B233" s="99"/>
      <c r="C233" s="99"/>
      <c r="D233" s="110"/>
      <c r="E233" s="49">
        <f t="shared" si="40"/>
        <v>686.13501199999996</v>
      </c>
      <c r="F233" s="6" t="s">
        <v>283</v>
      </c>
      <c r="G233" s="49">
        <f>686.135012</f>
        <v>686.13501199999996</v>
      </c>
      <c r="H233" s="49"/>
      <c r="I233" s="26"/>
      <c r="J233" s="49"/>
    </row>
    <row r="234" spans="1:10" ht="28.5" x14ac:dyDescent="0.25">
      <c r="A234" s="116"/>
      <c r="B234" s="94"/>
      <c r="C234" s="94"/>
      <c r="D234" s="111"/>
      <c r="E234" s="49">
        <f t="shared" si="40"/>
        <v>250.03355999999999</v>
      </c>
      <c r="F234" s="6" t="s">
        <v>388</v>
      </c>
      <c r="G234" s="49">
        <f>250033.56/1000</f>
        <v>250.03355999999999</v>
      </c>
      <c r="H234" s="49"/>
      <c r="I234" s="26"/>
      <c r="J234" s="49"/>
    </row>
    <row r="235" spans="1:10" x14ac:dyDescent="0.25">
      <c r="A235" s="116"/>
      <c r="B235" s="89" t="s">
        <v>224</v>
      </c>
      <c r="C235" s="89"/>
      <c r="D235" s="89"/>
      <c r="E235" s="49"/>
      <c r="F235" s="49"/>
      <c r="G235" s="49"/>
      <c r="H235" s="49"/>
      <c r="I235" s="49"/>
      <c r="J235" s="49"/>
    </row>
    <row r="236" spans="1:10" x14ac:dyDescent="0.25">
      <c r="A236" s="116"/>
      <c r="B236" s="90" t="s">
        <v>259</v>
      </c>
      <c r="C236" s="91"/>
      <c r="D236" s="92"/>
      <c r="E236" s="49">
        <f t="shared" ref="E236:E237" si="41">G236</f>
        <v>36.585520157067762</v>
      </c>
      <c r="F236" s="49"/>
      <c r="G236" s="49">
        <f>J236</f>
        <v>36.585520157067762</v>
      </c>
      <c r="H236" s="49">
        <f>J236</f>
        <v>36.585520157067762</v>
      </c>
      <c r="I236" s="49"/>
      <c r="J236" s="49">
        <f>35244.77/1000+1340.75015706777/1000</f>
        <v>36.585520157067762</v>
      </c>
    </row>
    <row r="237" spans="1:10" x14ac:dyDescent="0.25">
      <c r="A237" s="117"/>
      <c r="B237" s="90" t="s">
        <v>409</v>
      </c>
      <c r="C237" s="91"/>
      <c r="D237" s="92"/>
      <c r="E237" s="49">
        <f t="shared" si="41"/>
        <v>-8.2983487198984351E-2</v>
      </c>
      <c r="F237" s="49"/>
      <c r="G237" s="49">
        <f>J237</f>
        <v>-8.2983487198984351E-2</v>
      </c>
      <c r="H237" s="49">
        <f t="shared" ref="H237" si="42">J237</f>
        <v>-8.2983487198984351E-2</v>
      </c>
      <c r="I237" s="49"/>
      <c r="J237" s="49">
        <f>-77.94/1000-5.04348719898435/1000</f>
        <v>-8.2983487198984351E-2</v>
      </c>
    </row>
    <row r="238" spans="1:10" ht="28.5" x14ac:dyDescent="0.25">
      <c r="A238" s="115" t="s">
        <v>24</v>
      </c>
      <c r="B238" s="93" t="s">
        <v>73</v>
      </c>
      <c r="C238" s="93" t="s">
        <v>74</v>
      </c>
      <c r="D238" s="109">
        <f>10562094.55/1000</f>
        <v>10562.094550000002</v>
      </c>
      <c r="E238" s="49">
        <f>G238</f>
        <v>695.80638999999996</v>
      </c>
      <c r="F238" s="6" t="s">
        <v>75</v>
      </c>
      <c r="G238" s="49">
        <f>695806.39/1000</f>
        <v>695.80638999999996</v>
      </c>
      <c r="H238" s="49"/>
      <c r="I238" s="49"/>
      <c r="J238" s="49"/>
    </row>
    <row r="239" spans="1:10" ht="28.5" x14ac:dyDescent="0.25">
      <c r="A239" s="116"/>
      <c r="B239" s="94"/>
      <c r="C239" s="94"/>
      <c r="D239" s="111"/>
      <c r="E239" s="49">
        <f>G239</f>
        <v>347.90320000000003</v>
      </c>
      <c r="F239" s="6" t="s">
        <v>427</v>
      </c>
      <c r="G239" s="49">
        <f>347903.2/1000</f>
        <v>347.90320000000003</v>
      </c>
      <c r="H239" s="49"/>
      <c r="I239" s="49"/>
      <c r="J239" s="49"/>
    </row>
    <row r="240" spans="1:10" ht="42.75" x14ac:dyDescent="0.25">
      <c r="A240" s="116"/>
      <c r="B240" s="93" t="s">
        <v>81</v>
      </c>
      <c r="C240" s="93" t="s">
        <v>82</v>
      </c>
      <c r="D240" s="109">
        <f>9738510.57/1000</f>
        <v>9738.5105700000004</v>
      </c>
      <c r="E240" s="49">
        <f>G240</f>
        <v>360.04480999999998</v>
      </c>
      <c r="F240" s="6" t="s">
        <v>96</v>
      </c>
      <c r="G240" s="49">
        <f>360044.81/1000</f>
        <v>360.04480999999998</v>
      </c>
      <c r="H240" s="49">
        <f>J240</f>
        <v>360.04480800000005</v>
      </c>
      <c r="I240" s="6" t="s">
        <v>116</v>
      </c>
      <c r="J240" s="49">
        <f>300037.34*1.2/1000</f>
        <v>360.04480800000005</v>
      </c>
    </row>
    <row r="241" spans="1:10" ht="42.75" x14ac:dyDescent="0.25">
      <c r="A241" s="116"/>
      <c r="B241" s="99"/>
      <c r="C241" s="99"/>
      <c r="D241" s="110"/>
      <c r="E241" s="49">
        <f>G241</f>
        <v>1703.98405</v>
      </c>
      <c r="F241" s="6" t="s">
        <v>283</v>
      </c>
      <c r="G241" s="49">
        <f>1703.98405</f>
        <v>1703.98405</v>
      </c>
      <c r="H241" s="49">
        <f>+J241</f>
        <v>1703.9840519999998</v>
      </c>
      <c r="I241" s="6" t="s">
        <v>170</v>
      </c>
      <c r="J241" s="49">
        <f>1419986.71/1000*1.2</f>
        <v>1703.9840519999998</v>
      </c>
    </row>
    <row r="242" spans="1:10" ht="42.75" x14ac:dyDescent="0.25">
      <c r="A242" s="116"/>
      <c r="B242" s="99"/>
      <c r="C242" s="99"/>
      <c r="D242" s="110"/>
      <c r="E242" s="49">
        <f>G242</f>
        <v>194.04748000000001</v>
      </c>
      <c r="F242" s="6" t="s">
        <v>389</v>
      </c>
      <c r="G242" s="49">
        <f>194047.48/1000</f>
        <v>194.04748000000001</v>
      </c>
      <c r="H242" s="49">
        <f>+J242</f>
        <v>194.04747999999998</v>
      </c>
      <c r="I242" s="25" t="s">
        <v>304</v>
      </c>
      <c r="J242" s="49">
        <f>(119431.2+74616.28)/1000</f>
        <v>194.04747999999998</v>
      </c>
    </row>
    <row r="243" spans="1:10" ht="20.25" customHeight="1" x14ac:dyDescent="0.25">
      <c r="A243" s="116"/>
      <c r="B243" s="90" t="s">
        <v>259</v>
      </c>
      <c r="C243" s="91"/>
      <c r="D243" s="92"/>
      <c r="E243" s="49">
        <f t="shared" ref="E243:E244" si="43">G243</f>
        <v>21.610479600244762</v>
      </c>
      <c r="F243" s="49"/>
      <c r="G243" s="49">
        <f>J243</f>
        <v>21.610479600244762</v>
      </c>
      <c r="H243" s="49">
        <f>J243</f>
        <v>21.610479600244762</v>
      </c>
      <c r="I243" s="49"/>
      <c r="J243" s="49">
        <f>20818.52/1000+791.959600244762/1000</f>
        <v>21.610479600244762</v>
      </c>
    </row>
    <row r="244" spans="1:10" ht="20.25" customHeight="1" x14ac:dyDescent="0.25">
      <c r="A244" s="117"/>
      <c r="B244" s="90" t="s">
        <v>409</v>
      </c>
      <c r="C244" s="91"/>
      <c r="D244" s="92"/>
      <c r="E244" s="49">
        <f t="shared" si="43"/>
        <v>-4.9019242374149848E-2</v>
      </c>
      <c r="F244" s="49"/>
      <c r="G244" s="49">
        <f>J244</f>
        <v>-4.9019242374149848E-2</v>
      </c>
      <c r="H244" s="49">
        <f t="shared" ref="H244" si="44">J244</f>
        <v>-4.9019242374149848E-2</v>
      </c>
      <c r="I244" s="49"/>
      <c r="J244" s="49">
        <f>-46.04/1000-2.97924237414985/1000</f>
        <v>-4.9019242374149848E-2</v>
      </c>
    </row>
    <row r="245" spans="1:10" ht="20.25" customHeight="1" x14ac:dyDescent="0.25">
      <c r="A245" s="115" t="s">
        <v>168</v>
      </c>
      <c r="B245" s="89" t="s">
        <v>22</v>
      </c>
      <c r="C245" s="89"/>
      <c r="D245" s="89"/>
      <c r="E245" s="49">
        <f t="shared" si="37"/>
        <v>1.5800369685767099</v>
      </c>
      <c r="F245" s="49"/>
      <c r="G245" s="49">
        <v>1.5800369685767099</v>
      </c>
      <c r="H245" s="49">
        <f t="shared" si="36"/>
        <v>6.9559300000000004</v>
      </c>
      <c r="I245" s="49"/>
      <c r="J245" s="49">
        <v>6.9559300000000004</v>
      </c>
    </row>
    <row r="246" spans="1:10" ht="20.25" customHeight="1" x14ac:dyDescent="0.25">
      <c r="A246" s="116"/>
      <c r="B246" s="89" t="s">
        <v>27</v>
      </c>
      <c r="C246" s="89"/>
      <c r="D246" s="89"/>
      <c r="E246" s="49">
        <f t="shared" si="37"/>
        <v>6.0655062109949505</v>
      </c>
      <c r="F246" s="49"/>
      <c r="G246" s="49">
        <v>6.0655062109949505</v>
      </c>
      <c r="H246" s="49">
        <f t="shared" si="36"/>
        <v>1.7031500000000002</v>
      </c>
      <c r="I246" s="49"/>
      <c r="J246" s="49">
        <v>1.7031500000000002</v>
      </c>
    </row>
    <row r="247" spans="1:10" ht="20.25" customHeight="1" x14ac:dyDescent="0.25">
      <c r="A247" s="116"/>
      <c r="B247" s="89" t="s">
        <v>28</v>
      </c>
      <c r="C247" s="89"/>
      <c r="D247" s="89"/>
      <c r="E247" s="49">
        <f t="shared" si="37"/>
        <v>1.99878265995285</v>
      </c>
      <c r="F247" s="49"/>
      <c r="G247" s="49">
        <v>1.99878265995285</v>
      </c>
      <c r="H247" s="49">
        <f t="shared" si="36"/>
        <v>3.00807</v>
      </c>
      <c r="I247" s="49"/>
      <c r="J247" s="49">
        <v>3.00807</v>
      </c>
    </row>
    <row r="248" spans="1:10" ht="20.25" customHeight="1" x14ac:dyDescent="0.25">
      <c r="A248" s="116"/>
      <c r="B248" s="89" t="s">
        <v>207</v>
      </c>
      <c r="C248" s="89"/>
      <c r="D248" s="89"/>
      <c r="E248" s="49">
        <f>+G248</f>
        <v>3.7249002692022399</v>
      </c>
      <c r="F248" s="49"/>
      <c r="G248" s="49">
        <f>3724.90026920224/1000</f>
        <v>3.7249002692022399</v>
      </c>
      <c r="H248" s="49">
        <f>+J248</f>
        <v>4.3882599999999998</v>
      </c>
      <c r="I248" s="49"/>
      <c r="J248" s="49">
        <f>4388.26/1000</f>
        <v>4.3882599999999998</v>
      </c>
    </row>
    <row r="249" spans="1:10" ht="20.25" customHeight="1" x14ac:dyDescent="0.25">
      <c r="A249" s="116"/>
      <c r="B249" s="89" t="s">
        <v>167</v>
      </c>
      <c r="C249" s="89"/>
      <c r="D249" s="89"/>
      <c r="E249" s="49">
        <f>+G249</f>
        <v>3.9403388260963403</v>
      </c>
      <c r="F249" s="49"/>
      <c r="G249" s="49">
        <f>3940.33882609634/1000</f>
        <v>3.9403388260963403</v>
      </c>
      <c r="H249" s="49">
        <f>+J249</f>
        <v>4.0408800000000005</v>
      </c>
      <c r="I249" s="49"/>
      <c r="J249" s="49">
        <f>4040.88/1000</f>
        <v>4.0408800000000005</v>
      </c>
    </row>
    <row r="250" spans="1:10" ht="20.25" customHeight="1" x14ac:dyDescent="0.25">
      <c r="A250" s="116"/>
      <c r="B250" s="89" t="s">
        <v>146</v>
      </c>
      <c r="C250" s="89"/>
      <c r="D250" s="89"/>
      <c r="E250" s="49">
        <f>+G250</f>
        <v>2.7867250651769102</v>
      </c>
      <c r="F250" s="49"/>
      <c r="G250" s="49">
        <f>2786.72506517691/1000</f>
        <v>2.7867250651769102</v>
      </c>
      <c r="H250" s="49"/>
      <c r="I250" s="49"/>
      <c r="J250" s="49"/>
    </row>
    <row r="251" spans="1:10" ht="20.25" customHeight="1" x14ac:dyDescent="0.25">
      <c r="A251" s="116"/>
      <c r="B251" s="89" t="s">
        <v>222</v>
      </c>
      <c r="C251" s="89"/>
      <c r="D251" s="89"/>
      <c r="E251" s="49">
        <f>G251</f>
        <v>6.0199388828337899</v>
      </c>
      <c r="F251" s="49"/>
      <c r="G251" s="49">
        <v>6.0199388828337899</v>
      </c>
      <c r="H251" s="49">
        <f>J251</f>
        <v>15.997909999999999</v>
      </c>
      <c r="I251" s="49"/>
      <c r="J251" s="49">
        <f>15997.91/1000</f>
        <v>15.997909999999999</v>
      </c>
    </row>
    <row r="252" spans="1:10" ht="20.25" customHeight="1" x14ac:dyDescent="0.25">
      <c r="A252" s="116"/>
      <c r="B252" s="89" t="s">
        <v>223</v>
      </c>
      <c r="C252" s="89"/>
      <c r="D252" s="89"/>
      <c r="E252" s="49">
        <f>+G252</f>
        <v>9.9779711171662093</v>
      </c>
      <c r="F252" s="49"/>
      <c r="G252" s="49">
        <f>9977.97111716621/1000</f>
        <v>9.9779711171662093</v>
      </c>
      <c r="H252" s="49"/>
      <c r="I252" s="49"/>
      <c r="J252" s="49"/>
    </row>
    <row r="253" spans="1:10" ht="20.25" customHeight="1" x14ac:dyDescent="0.25">
      <c r="A253" s="116"/>
      <c r="B253" s="89" t="s">
        <v>224</v>
      </c>
      <c r="C253" s="89"/>
      <c r="D253" s="89"/>
      <c r="E253" s="49">
        <f>+G253</f>
        <v>4.6290200000000006</v>
      </c>
      <c r="F253" s="49"/>
      <c r="G253" s="49">
        <f>4629.02/1000</f>
        <v>4.6290200000000006</v>
      </c>
      <c r="H253" s="49">
        <f>J253</f>
        <v>12.05386</v>
      </c>
      <c r="I253" s="49"/>
      <c r="J253" s="49">
        <f>12053.86/1000</f>
        <v>12.05386</v>
      </c>
    </row>
    <row r="254" spans="1:10" ht="20.25" customHeight="1" x14ac:dyDescent="0.25">
      <c r="A254" s="116"/>
      <c r="B254" s="90" t="s">
        <v>359</v>
      </c>
      <c r="C254" s="91"/>
      <c r="D254" s="92"/>
      <c r="E254" s="49">
        <f>+G254</f>
        <v>12.2505312838802</v>
      </c>
      <c r="F254" s="49"/>
      <c r="G254" s="49">
        <f>12250.5312838802/1000</f>
        <v>12.2505312838802</v>
      </c>
      <c r="H254" s="49">
        <f>+J254</f>
        <v>12.15781</v>
      </c>
      <c r="I254" s="49"/>
      <c r="J254" s="49">
        <f>12157.81/1000</f>
        <v>12.15781</v>
      </c>
    </row>
    <row r="255" spans="1:10" ht="20.25" customHeight="1" x14ac:dyDescent="0.25">
      <c r="A255" s="116"/>
      <c r="B255" s="90" t="s">
        <v>408</v>
      </c>
      <c r="C255" s="91"/>
      <c r="D255" s="92"/>
      <c r="E255" s="49">
        <f>+G255</f>
        <v>17.235943999138701</v>
      </c>
      <c r="F255" s="49"/>
      <c r="G255" s="49">
        <f>17235.9439991387/1000</f>
        <v>17.235943999138701</v>
      </c>
      <c r="H255" s="49">
        <f>+J255</f>
        <v>28.16038</v>
      </c>
      <c r="I255" s="49"/>
      <c r="J255" s="49">
        <f>28160.38/1000</f>
        <v>28.16038</v>
      </c>
    </row>
    <row r="256" spans="1:10" ht="20.25" customHeight="1" x14ac:dyDescent="0.25">
      <c r="A256" s="116"/>
      <c r="B256" s="90" t="s">
        <v>465</v>
      </c>
      <c r="C256" s="91"/>
      <c r="D256" s="92"/>
      <c r="E256" s="49">
        <f>+G256</f>
        <v>18.2565547169811</v>
      </c>
      <c r="F256" s="49"/>
      <c r="G256" s="49">
        <f>18256.5547169811/1000</f>
        <v>18.2565547169811</v>
      </c>
      <c r="H256" s="49">
        <f>+J256</f>
        <v>0</v>
      </c>
      <c r="I256" s="49"/>
      <c r="J256" s="49"/>
    </row>
    <row r="257" spans="1:10" ht="20.25" customHeight="1" x14ac:dyDescent="0.25">
      <c r="A257" s="116"/>
      <c r="B257" s="90" t="s">
        <v>259</v>
      </c>
      <c r="C257" s="91"/>
      <c r="D257" s="92"/>
      <c r="E257" s="49">
        <f t="shared" ref="E257:E262" si="45">G257</f>
        <v>4.5131743753327402</v>
      </c>
      <c r="F257" s="49"/>
      <c r="G257" s="49">
        <f>J257</f>
        <v>4.5131743753327402</v>
      </c>
      <c r="H257" s="49">
        <f t="shared" ref="H257:H266" si="46">J257</f>
        <v>4.5131743753327402</v>
      </c>
      <c r="I257" s="49"/>
      <c r="J257" s="49">
        <f>4347.78/1000+165.394375332741/1000</f>
        <v>4.5131743753327402</v>
      </c>
    </row>
    <row r="258" spans="1:10" ht="20.25" customHeight="1" x14ac:dyDescent="0.25">
      <c r="A258" s="116"/>
      <c r="B258" s="90" t="s">
        <v>360</v>
      </c>
      <c r="C258" s="91"/>
      <c r="D258" s="92"/>
      <c r="E258" s="49">
        <f t="shared" si="45"/>
        <v>76.022114694510961</v>
      </c>
      <c r="F258" s="49"/>
      <c r="G258" s="49">
        <f>J258</f>
        <v>76.022114694510961</v>
      </c>
      <c r="H258" s="49">
        <f t="shared" si="46"/>
        <v>76.022114694510961</v>
      </c>
      <c r="I258" s="49"/>
      <c r="J258" s="49">
        <f>70769.04/1000+5253.07469451097/1000</f>
        <v>76.022114694510961</v>
      </c>
    </row>
    <row r="259" spans="1:10" ht="20.25" customHeight="1" x14ac:dyDescent="0.25">
      <c r="A259" s="117"/>
      <c r="B259" s="90" t="s">
        <v>409</v>
      </c>
      <c r="C259" s="91"/>
      <c r="D259" s="92"/>
      <c r="E259" s="49">
        <f t="shared" ref="E259:E260" si="47">G259</f>
        <v>82.327849508680757</v>
      </c>
      <c r="F259" s="49"/>
      <c r="G259" s="49">
        <f>J259</f>
        <v>82.327849508680757</v>
      </c>
      <c r="H259" s="49">
        <f t="shared" si="46"/>
        <v>82.327849508680757</v>
      </c>
      <c r="I259" s="49"/>
      <c r="J259" s="49">
        <f>77324.21/1000+5003.63950868075/1000</f>
        <v>82.327849508680757</v>
      </c>
    </row>
    <row r="260" spans="1:10" ht="20.25" customHeight="1" x14ac:dyDescent="0.25">
      <c r="A260" s="43"/>
      <c r="B260" s="90" t="s">
        <v>452</v>
      </c>
      <c r="C260" s="91"/>
      <c r="D260" s="92"/>
      <c r="E260" s="49">
        <f t="shared" si="47"/>
        <v>53.473181700583815</v>
      </c>
      <c r="F260" s="49"/>
      <c r="G260" s="49">
        <f>J260</f>
        <v>53.473181700583815</v>
      </c>
      <c r="H260" s="49">
        <f t="shared" si="46"/>
        <v>53.473181700583815</v>
      </c>
      <c r="I260" s="49"/>
      <c r="J260" s="49">
        <f>50453.88/1000+3019.30170058382/1000</f>
        <v>53.473181700583815</v>
      </c>
    </row>
    <row r="261" spans="1:10" ht="71.25" x14ac:dyDescent="0.25">
      <c r="A261" s="115" t="s">
        <v>112</v>
      </c>
      <c r="B261" s="93" t="s">
        <v>113</v>
      </c>
      <c r="C261" s="48" t="s">
        <v>120</v>
      </c>
      <c r="D261" s="53">
        <v>1740.327</v>
      </c>
      <c r="E261" s="49"/>
      <c r="F261" s="49"/>
      <c r="G261" s="49"/>
      <c r="H261" s="49">
        <f t="shared" si="46"/>
        <v>1740.327</v>
      </c>
      <c r="I261" s="6" t="s">
        <v>123</v>
      </c>
      <c r="J261" s="49">
        <f>1450272.5*1.2/1000</f>
        <v>1740.327</v>
      </c>
    </row>
    <row r="262" spans="1:10" ht="28.5" x14ac:dyDescent="0.25">
      <c r="A262" s="116"/>
      <c r="B262" s="99"/>
      <c r="C262" s="93" t="s">
        <v>331</v>
      </c>
      <c r="D262" s="103">
        <v>3840</v>
      </c>
      <c r="E262" s="49">
        <f t="shared" si="45"/>
        <v>1884</v>
      </c>
      <c r="F262" s="6" t="s">
        <v>398</v>
      </c>
      <c r="G262" s="49">
        <f>1884000/1000</f>
        <v>1884</v>
      </c>
      <c r="H262" s="49">
        <f t="shared" si="46"/>
        <v>96</v>
      </c>
      <c r="I262" s="6" t="s">
        <v>332</v>
      </c>
      <c r="J262" s="49">
        <f>80000*1.2/1000</f>
        <v>96</v>
      </c>
    </row>
    <row r="263" spans="1:10" ht="28.5" x14ac:dyDescent="0.25">
      <c r="A263" s="116"/>
      <c r="B263" s="99"/>
      <c r="C263" s="99"/>
      <c r="D263" s="104"/>
      <c r="E263" s="49"/>
      <c r="F263" s="6"/>
      <c r="G263" s="49"/>
      <c r="H263" s="49">
        <f t="shared" si="46"/>
        <v>188.00000400000002</v>
      </c>
      <c r="I263" s="6" t="s">
        <v>332</v>
      </c>
      <c r="J263" s="49">
        <f>156666.67/1000*1.2</f>
        <v>188.00000400000002</v>
      </c>
    </row>
    <row r="264" spans="1:10" ht="28.5" x14ac:dyDescent="0.25">
      <c r="A264" s="116"/>
      <c r="B264" s="99"/>
      <c r="C264" s="99"/>
      <c r="D264" s="104"/>
      <c r="E264" s="49"/>
      <c r="F264" s="6"/>
      <c r="G264" s="49"/>
      <c r="H264" s="49">
        <f t="shared" si="46"/>
        <v>390</v>
      </c>
      <c r="I264" s="6" t="s">
        <v>332</v>
      </c>
      <c r="J264" s="49">
        <f>325000*1.2/1000</f>
        <v>390</v>
      </c>
    </row>
    <row r="265" spans="1:10" ht="28.5" x14ac:dyDescent="0.25">
      <c r="A265" s="116"/>
      <c r="B265" s="99"/>
      <c r="C265" s="99"/>
      <c r="D265" s="104"/>
      <c r="E265" s="49"/>
      <c r="F265" s="6"/>
      <c r="G265" s="49"/>
      <c r="H265" s="49">
        <f t="shared" si="46"/>
        <v>670.00000799999987</v>
      </c>
      <c r="I265" s="6" t="s">
        <v>332</v>
      </c>
      <c r="J265" s="49">
        <f>558333.34*1.2/1000</f>
        <v>670.00000799999987</v>
      </c>
    </row>
    <row r="266" spans="1:10" ht="28.5" x14ac:dyDescent="0.25">
      <c r="A266" s="116"/>
      <c r="B266" s="99"/>
      <c r="C266" s="99"/>
      <c r="D266" s="104"/>
      <c r="E266" s="49"/>
      <c r="F266" s="6"/>
      <c r="G266" s="49"/>
      <c r="H266" s="49">
        <f t="shared" si="46"/>
        <v>249.99999599999998</v>
      </c>
      <c r="I266" s="6" t="s">
        <v>332</v>
      </c>
      <c r="J266" s="49">
        <f>208333.33*1.2/1000</f>
        <v>249.99999599999998</v>
      </c>
    </row>
    <row r="267" spans="1:10" ht="28.5" x14ac:dyDescent="0.25">
      <c r="A267" s="116"/>
      <c r="B267" s="99"/>
      <c r="C267" s="99"/>
      <c r="D267" s="104"/>
      <c r="E267" s="49"/>
      <c r="F267" s="6"/>
      <c r="G267" s="49"/>
      <c r="H267" s="49">
        <f t="shared" ref="H267:H268" si="48">J267</f>
        <v>144.99999599999998</v>
      </c>
      <c r="I267" s="6" t="s">
        <v>332</v>
      </c>
      <c r="J267" s="49">
        <f>120833.33*1.2/1000</f>
        <v>144.99999599999998</v>
      </c>
    </row>
    <row r="268" spans="1:10" ht="28.5" x14ac:dyDescent="0.25">
      <c r="A268" s="116"/>
      <c r="B268" s="94"/>
      <c r="C268" s="94"/>
      <c r="D268" s="105"/>
      <c r="E268" s="49"/>
      <c r="F268" s="6"/>
      <c r="G268" s="49"/>
      <c r="H268" s="49">
        <f t="shared" si="48"/>
        <v>144.99999599999998</v>
      </c>
      <c r="I268" s="6" t="s">
        <v>332</v>
      </c>
      <c r="J268" s="49">
        <f>120833.33*1.2/1000</f>
        <v>144.99999599999998</v>
      </c>
    </row>
    <row r="269" spans="1:10" x14ac:dyDescent="0.25">
      <c r="A269" s="116"/>
      <c r="B269" s="89" t="s">
        <v>224</v>
      </c>
      <c r="C269" s="89"/>
      <c r="D269" s="89"/>
      <c r="E269" s="49"/>
      <c r="F269" s="49"/>
      <c r="G269" s="49"/>
      <c r="H269" s="49"/>
      <c r="I269" s="49"/>
      <c r="J269" s="49"/>
    </row>
    <row r="270" spans="1:10" x14ac:dyDescent="0.25">
      <c r="A270" s="116"/>
      <c r="B270" s="90" t="s">
        <v>259</v>
      </c>
      <c r="C270" s="91"/>
      <c r="D270" s="92"/>
      <c r="E270" s="49">
        <f t="shared" ref="E270:E273" si="49">G270</f>
        <v>53.275186638254674</v>
      </c>
      <c r="F270" s="49"/>
      <c r="G270" s="49">
        <f>J270</f>
        <v>53.275186638254674</v>
      </c>
      <c r="H270" s="49">
        <f>J270</f>
        <v>53.275186638254674</v>
      </c>
      <c r="I270" s="49"/>
      <c r="J270" s="49">
        <f>51322.81/1000+1952.37663825468/1000</f>
        <v>53.275186638254674</v>
      </c>
    </row>
    <row r="271" spans="1:10" x14ac:dyDescent="0.25">
      <c r="A271" s="116"/>
      <c r="B271" s="90" t="s">
        <v>360</v>
      </c>
      <c r="C271" s="91"/>
      <c r="D271" s="92"/>
      <c r="E271" s="49">
        <f t="shared" si="49"/>
        <v>60.514166364404332</v>
      </c>
      <c r="F271" s="49"/>
      <c r="G271" s="49">
        <f>J271</f>
        <v>60.514166364404332</v>
      </c>
      <c r="H271" s="49">
        <f>J271</f>
        <v>60.514166364404332</v>
      </c>
      <c r="I271" s="49"/>
      <c r="J271" s="49">
        <f>56332.68/1000+4181.48636440433/1000</f>
        <v>60.514166364404332</v>
      </c>
    </row>
    <row r="272" spans="1:10" x14ac:dyDescent="0.25">
      <c r="A272" s="116"/>
      <c r="B272" s="90" t="s">
        <v>409</v>
      </c>
      <c r="C272" s="91"/>
      <c r="D272" s="92"/>
      <c r="E272" s="49">
        <f t="shared" si="49"/>
        <v>6.7097270654849304</v>
      </c>
      <c r="F272" s="49"/>
      <c r="G272" s="49">
        <f>J272</f>
        <v>6.7097270654849304</v>
      </c>
      <c r="H272" s="49">
        <f>J272</f>
        <v>6.7097270654849304</v>
      </c>
      <c r="I272" s="49"/>
      <c r="J272" s="49">
        <f>6301.93/1000+407.79706548493/1000</f>
        <v>6.7097270654849304</v>
      </c>
    </row>
    <row r="273" spans="1:10" x14ac:dyDescent="0.25">
      <c r="A273" s="117"/>
      <c r="B273" s="90" t="s">
        <v>452</v>
      </c>
      <c r="C273" s="91"/>
      <c r="D273" s="92"/>
      <c r="E273" s="49">
        <f t="shared" si="49"/>
        <v>12.491010543335909</v>
      </c>
      <c r="F273" s="49"/>
      <c r="G273" s="49">
        <f>J273</f>
        <v>12.491010543335909</v>
      </c>
      <c r="H273" s="49">
        <f>J273</f>
        <v>12.491010543335909</v>
      </c>
      <c r="I273" s="49"/>
      <c r="J273" s="49">
        <f>11785.72/1000+705.29054333591/1000</f>
        <v>12.491010543335909</v>
      </c>
    </row>
    <row r="274" spans="1:10" x14ac:dyDescent="0.25">
      <c r="A274" s="115" t="s">
        <v>54</v>
      </c>
      <c r="B274" s="89" t="s">
        <v>22</v>
      </c>
      <c r="C274" s="89"/>
      <c r="D274" s="89"/>
      <c r="E274" s="49">
        <f t="shared" si="37"/>
        <v>1.88719852125693</v>
      </c>
      <c r="F274" s="49"/>
      <c r="G274" s="49">
        <v>1.88719852125693</v>
      </c>
      <c r="H274" s="49">
        <f t="shared" si="36"/>
        <v>8.3081700000000005</v>
      </c>
      <c r="I274" s="49"/>
      <c r="J274" s="49">
        <v>8.3081700000000005</v>
      </c>
    </row>
    <row r="275" spans="1:10" x14ac:dyDescent="0.25">
      <c r="A275" s="116"/>
      <c r="B275" s="89" t="s">
        <v>27</v>
      </c>
      <c r="C275" s="89"/>
      <c r="D275" s="89"/>
      <c r="E275" s="49">
        <f t="shared" si="37"/>
        <v>21.613469666552</v>
      </c>
      <c r="F275" s="49"/>
      <c r="G275" s="49">
        <v>21.613469666552</v>
      </c>
      <c r="H275" s="49">
        <f t="shared" si="36"/>
        <v>37.5214</v>
      </c>
      <c r="I275" s="49"/>
      <c r="J275" s="49">
        <v>37.5214</v>
      </c>
    </row>
    <row r="276" spans="1:10" x14ac:dyDescent="0.25">
      <c r="A276" s="116"/>
      <c r="B276" s="89" t="s">
        <v>28</v>
      </c>
      <c r="C276" s="89"/>
      <c r="D276" s="89"/>
      <c r="E276" s="49">
        <f t="shared" si="37"/>
        <v>49.469088795846403</v>
      </c>
      <c r="F276" s="49"/>
      <c r="G276" s="49">
        <v>49.469088795846403</v>
      </c>
      <c r="H276" s="49">
        <f t="shared" si="36"/>
        <v>82.86233</v>
      </c>
      <c r="I276" s="49"/>
      <c r="J276" s="49">
        <v>82.86233</v>
      </c>
    </row>
    <row r="277" spans="1:10" x14ac:dyDescent="0.25">
      <c r="A277" s="116"/>
      <c r="B277" s="89" t="s">
        <v>207</v>
      </c>
      <c r="C277" s="89"/>
      <c r="D277" s="89"/>
      <c r="E277" s="49">
        <f>+G277</f>
        <v>79.298891814628007</v>
      </c>
      <c r="F277" s="49"/>
      <c r="G277" s="49">
        <f>79298.891814628/1000</f>
        <v>79.298891814628007</v>
      </c>
      <c r="H277" s="49">
        <f>+J277</f>
        <v>60.784990000000001</v>
      </c>
      <c r="I277" s="49"/>
      <c r="J277" s="49">
        <f>60784.99/1000</f>
        <v>60.784990000000001</v>
      </c>
    </row>
    <row r="278" spans="1:10" x14ac:dyDescent="0.25">
      <c r="A278" s="116"/>
      <c r="B278" s="122" t="s">
        <v>167</v>
      </c>
      <c r="C278" s="122"/>
      <c r="D278" s="122"/>
      <c r="E278" s="49">
        <f>+G278</f>
        <v>65.670094553672001</v>
      </c>
      <c r="F278" s="49"/>
      <c r="G278" s="49">
        <f>65670.094553672/1000</f>
        <v>65.670094553672001</v>
      </c>
      <c r="H278" s="49">
        <f>+J278</f>
        <v>91.704139999999995</v>
      </c>
      <c r="I278" s="49"/>
      <c r="J278" s="49">
        <f>91704.14/1000</f>
        <v>91.704139999999995</v>
      </c>
    </row>
    <row r="279" spans="1:10" x14ac:dyDescent="0.25">
      <c r="A279" s="116"/>
      <c r="B279" s="89" t="s">
        <v>146</v>
      </c>
      <c r="C279" s="89"/>
      <c r="D279" s="89"/>
      <c r="E279" s="49">
        <f>+G279</f>
        <v>87.112737256353299</v>
      </c>
      <c r="F279" s="49"/>
      <c r="G279" s="49">
        <f>87112.7372563533/1000</f>
        <v>87.112737256353299</v>
      </c>
      <c r="H279" s="49">
        <f>+J279</f>
        <v>65.247349999999997</v>
      </c>
      <c r="I279" s="49"/>
      <c r="J279" s="49">
        <f>65247.35/1000</f>
        <v>65.247349999999997</v>
      </c>
    </row>
    <row r="280" spans="1:10" ht="42.75" x14ac:dyDescent="0.25">
      <c r="A280" s="116"/>
      <c r="B280" s="48" t="s">
        <v>166</v>
      </c>
      <c r="C280" s="48" t="s">
        <v>201</v>
      </c>
      <c r="D280" s="48"/>
      <c r="E280" s="49">
        <f>+G280</f>
        <v>254.238</v>
      </c>
      <c r="F280" s="6" t="s">
        <v>202</v>
      </c>
      <c r="G280" s="49">
        <f>254238/1000</f>
        <v>254.238</v>
      </c>
      <c r="H280" s="49">
        <f>+J280</f>
        <v>254.238</v>
      </c>
      <c r="I280" s="6" t="s">
        <v>475</v>
      </c>
      <c r="J280" s="49">
        <f>211865*1.2/1000</f>
        <v>254.238</v>
      </c>
    </row>
    <row r="281" spans="1:10" x14ac:dyDescent="0.25">
      <c r="A281" s="116"/>
      <c r="B281" s="89" t="s">
        <v>222</v>
      </c>
      <c r="C281" s="89"/>
      <c r="D281" s="89"/>
      <c r="E281" s="49">
        <f>G281</f>
        <v>48.895246326296302</v>
      </c>
      <c r="F281" s="49"/>
      <c r="G281" s="49">
        <v>48.895246326296302</v>
      </c>
      <c r="H281" s="49">
        <f>J281</f>
        <v>19.979580000000002</v>
      </c>
      <c r="I281" s="49"/>
      <c r="J281" s="49">
        <f>19979.58/1000</f>
        <v>19.979580000000002</v>
      </c>
    </row>
    <row r="282" spans="1:10" x14ac:dyDescent="0.25">
      <c r="A282" s="116"/>
      <c r="B282" s="89" t="s">
        <v>223</v>
      </c>
      <c r="C282" s="89"/>
      <c r="D282" s="89"/>
      <c r="E282" s="49">
        <f>G282</f>
        <v>44.112081208039996</v>
      </c>
      <c r="F282" s="49"/>
      <c r="G282" s="49">
        <f>44112.08120804/1000</f>
        <v>44.112081208039996</v>
      </c>
      <c r="H282" s="49">
        <f t="shared" si="36"/>
        <v>86.668530000000004</v>
      </c>
      <c r="I282" s="49"/>
      <c r="J282" s="49">
        <f>86668.53/1000</f>
        <v>86.668530000000004</v>
      </c>
    </row>
    <row r="283" spans="1:10" x14ac:dyDescent="0.25">
      <c r="A283" s="116"/>
      <c r="B283" s="89" t="s">
        <v>224</v>
      </c>
      <c r="C283" s="89"/>
      <c r="D283" s="89"/>
      <c r="E283" s="49">
        <f>G283</f>
        <v>100.212206857355</v>
      </c>
      <c r="F283" s="49"/>
      <c r="G283" s="49">
        <f>100212.206857355/1000</f>
        <v>100.212206857355</v>
      </c>
      <c r="H283" s="49">
        <f>J283</f>
        <v>113.99834</v>
      </c>
      <c r="I283" s="49"/>
      <c r="J283" s="49">
        <f>113998.34/1000</f>
        <v>113.99834</v>
      </c>
    </row>
    <row r="284" spans="1:10" x14ac:dyDescent="0.25">
      <c r="A284" s="116"/>
      <c r="B284" s="90" t="s">
        <v>359</v>
      </c>
      <c r="C284" s="91"/>
      <c r="D284" s="92"/>
      <c r="E284" s="49">
        <f>+G284</f>
        <v>103.430405813124</v>
      </c>
      <c r="F284" s="49"/>
      <c r="G284" s="49">
        <f>103430.405813124/1000</f>
        <v>103.430405813124</v>
      </c>
      <c r="H284" s="49">
        <f>+J284</f>
        <v>87.505219999999994</v>
      </c>
      <c r="I284" s="49"/>
      <c r="J284" s="49">
        <f>87505.22/1000</f>
        <v>87.505219999999994</v>
      </c>
    </row>
    <row r="285" spans="1:10" x14ac:dyDescent="0.25">
      <c r="A285" s="116"/>
      <c r="B285" s="90" t="s">
        <v>408</v>
      </c>
      <c r="C285" s="91"/>
      <c r="D285" s="92"/>
      <c r="E285" s="49">
        <f>+G285</f>
        <v>88.024301293794096</v>
      </c>
      <c r="F285" s="49"/>
      <c r="G285" s="49">
        <f>88024.3012937941/1000</f>
        <v>88.024301293794096</v>
      </c>
      <c r="H285" s="49">
        <f>+J285</f>
        <v>100.17447</v>
      </c>
      <c r="I285" s="49"/>
      <c r="J285" s="49">
        <f>100174.47/1000</f>
        <v>100.17447</v>
      </c>
    </row>
    <row r="286" spans="1:10" x14ac:dyDescent="0.25">
      <c r="A286" s="116"/>
      <c r="B286" s="90" t="s">
        <v>465</v>
      </c>
      <c r="C286" s="91"/>
      <c r="D286" s="92"/>
      <c r="E286" s="49">
        <f>+G286</f>
        <v>135.50490789308202</v>
      </c>
      <c r="F286" s="49"/>
      <c r="G286" s="49">
        <f>135504.907893082/1000</f>
        <v>135.50490789308202</v>
      </c>
      <c r="H286" s="49">
        <f>+J286</f>
        <v>89.307649999999995</v>
      </c>
      <c r="I286" s="49"/>
      <c r="J286" s="49">
        <f>89307.65/1000</f>
        <v>89.307649999999995</v>
      </c>
    </row>
    <row r="287" spans="1:10" x14ac:dyDescent="0.25">
      <c r="A287" s="116"/>
      <c r="B287" s="90" t="s">
        <v>259</v>
      </c>
      <c r="C287" s="91"/>
      <c r="D287" s="92"/>
      <c r="E287" s="49">
        <f t="shared" ref="E287:E290" si="50">G287</f>
        <v>42.979884533204775</v>
      </c>
      <c r="F287" s="49"/>
      <c r="G287" s="49">
        <f>J287</f>
        <v>42.979884533204775</v>
      </c>
      <c r="H287" s="49">
        <f>J287</f>
        <v>42.979884533204775</v>
      </c>
      <c r="I287" s="49"/>
      <c r="J287" s="49">
        <f>41404.8/1000+1575.08453320477/1000</f>
        <v>42.979884533204775</v>
      </c>
    </row>
    <row r="288" spans="1:10" x14ac:dyDescent="0.25">
      <c r="A288" s="116"/>
      <c r="B288" s="90" t="s">
        <v>360</v>
      </c>
      <c r="C288" s="91"/>
      <c r="D288" s="92"/>
      <c r="E288" s="49">
        <f t="shared" si="50"/>
        <v>40.291171642517675</v>
      </c>
      <c r="F288" s="49"/>
      <c r="G288" s="49">
        <f>J288</f>
        <v>40.291171642517675</v>
      </c>
      <c r="H288" s="49">
        <f>J288</f>
        <v>40.291171642517675</v>
      </c>
      <c r="I288" s="49"/>
      <c r="J288" s="49">
        <f>37507.08/1000+2784.09164251767/1000</f>
        <v>40.291171642517675</v>
      </c>
    </row>
    <row r="289" spans="1:10" x14ac:dyDescent="0.25">
      <c r="A289" s="116"/>
      <c r="B289" s="90" t="s">
        <v>409</v>
      </c>
      <c r="C289" s="91"/>
      <c r="D289" s="92"/>
      <c r="E289" s="49">
        <f t="shared" si="50"/>
        <v>36.383042058395958</v>
      </c>
      <c r="F289" s="49"/>
      <c r="G289" s="49">
        <f>J289</f>
        <v>36.383042058395958</v>
      </c>
      <c r="H289" s="49">
        <f>J289</f>
        <v>36.383042058395958</v>
      </c>
      <c r="I289" s="49"/>
      <c r="J289" s="49">
        <f>34171.79/1000+2211.25205839596/1000</f>
        <v>36.383042058395958</v>
      </c>
    </row>
    <row r="290" spans="1:10" x14ac:dyDescent="0.25">
      <c r="A290" s="117"/>
      <c r="B290" s="90" t="s">
        <v>452</v>
      </c>
      <c r="C290" s="91"/>
      <c r="D290" s="92"/>
      <c r="E290" s="49">
        <f t="shared" si="50"/>
        <v>29.056215805379271</v>
      </c>
      <c r="F290" s="49"/>
      <c r="G290" s="49">
        <f>J290</f>
        <v>29.056215805379271</v>
      </c>
      <c r="H290" s="49">
        <f>J290</f>
        <v>29.056215805379271</v>
      </c>
      <c r="I290" s="49"/>
      <c r="J290" s="49">
        <f>27415.59/1000+1640.62580537927/1000</f>
        <v>29.056215805379271</v>
      </c>
    </row>
    <row r="291" spans="1:10" ht="28.5" customHeight="1" x14ac:dyDescent="0.25">
      <c r="A291" s="115" t="s">
        <v>55</v>
      </c>
      <c r="B291" s="89" t="s">
        <v>147</v>
      </c>
      <c r="C291" s="89" t="s">
        <v>186</v>
      </c>
      <c r="D291" s="89">
        <v>133.19999999999999</v>
      </c>
      <c r="E291" s="49">
        <f>+G291</f>
        <v>96.943789999999993</v>
      </c>
      <c r="F291" s="6" t="s">
        <v>150</v>
      </c>
      <c r="G291" s="49">
        <f>96943.79/1000</f>
        <v>96.943789999999993</v>
      </c>
      <c r="H291" s="49">
        <f>J291</f>
        <v>96.943787999999998</v>
      </c>
      <c r="I291" s="6" t="s">
        <v>323</v>
      </c>
      <c r="J291" s="49">
        <f>80786.49*1.2/1000</f>
        <v>96.943787999999998</v>
      </c>
    </row>
    <row r="292" spans="1:10" ht="28.5" x14ac:dyDescent="0.25">
      <c r="A292" s="116"/>
      <c r="B292" s="89"/>
      <c r="C292" s="89"/>
      <c r="D292" s="89"/>
      <c r="E292" s="49">
        <f>+G292</f>
        <v>36.256129999999999</v>
      </c>
      <c r="F292" s="6" t="s">
        <v>151</v>
      </c>
      <c r="G292" s="49">
        <f>36256.13/1000</f>
        <v>36.256129999999999</v>
      </c>
      <c r="H292" s="49"/>
      <c r="I292" s="49"/>
      <c r="J292" s="49"/>
    </row>
    <row r="293" spans="1:10" ht="42.75" x14ac:dyDescent="0.25">
      <c r="A293" s="116"/>
      <c r="B293" s="48" t="s">
        <v>158</v>
      </c>
      <c r="C293" s="48" t="s">
        <v>159</v>
      </c>
      <c r="D293" s="48"/>
      <c r="E293" s="49">
        <f>+G293</f>
        <v>254.238</v>
      </c>
      <c r="F293" s="6" t="s">
        <v>160</v>
      </c>
      <c r="G293" s="49">
        <f>254238/1000</f>
        <v>254.238</v>
      </c>
      <c r="H293" s="49">
        <f>J293</f>
        <v>254.238</v>
      </c>
      <c r="I293" s="6" t="s">
        <v>257</v>
      </c>
      <c r="J293" s="49">
        <f>254238/1000</f>
        <v>254.238</v>
      </c>
    </row>
    <row r="294" spans="1:10" ht="42.75" x14ac:dyDescent="0.25">
      <c r="A294" s="116"/>
      <c r="B294" s="48" t="s">
        <v>166</v>
      </c>
      <c r="C294" s="48" t="s">
        <v>184</v>
      </c>
      <c r="D294" s="48"/>
      <c r="E294" s="49">
        <f>+G294</f>
        <v>254.238</v>
      </c>
      <c r="F294" s="6" t="s">
        <v>203</v>
      </c>
      <c r="G294" s="49">
        <f>254238/1000</f>
        <v>254.238</v>
      </c>
      <c r="H294" s="49">
        <f>+J294</f>
        <v>254.238</v>
      </c>
      <c r="I294" s="6" t="s">
        <v>185</v>
      </c>
      <c r="J294" s="49">
        <f>211865/1000*1.2</f>
        <v>254.238</v>
      </c>
    </row>
    <row r="295" spans="1:10" x14ac:dyDescent="0.25">
      <c r="A295" s="116"/>
      <c r="B295" s="89" t="s">
        <v>22</v>
      </c>
      <c r="C295" s="89"/>
      <c r="D295" s="89"/>
      <c r="E295" s="49">
        <f t="shared" si="37"/>
        <v>1.97089537892791</v>
      </c>
      <c r="F295" s="49"/>
      <c r="G295" s="49">
        <v>1.97089537892791</v>
      </c>
      <c r="H295" s="49">
        <f t="shared" si="36"/>
        <v>8.6766100000000002</v>
      </c>
      <c r="I295" s="49"/>
      <c r="J295" s="49">
        <v>8.6766100000000002</v>
      </c>
    </row>
    <row r="296" spans="1:10" x14ac:dyDescent="0.25">
      <c r="A296" s="116"/>
      <c r="B296" s="89" t="s">
        <v>27</v>
      </c>
      <c r="C296" s="89"/>
      <c r="D296" s="89"/>
      <c r="E296" s="49">
        <f t="shared" si="37"/>
        <v>19.3739768945482</v>
      </c>
      <c r="F296" s="49"/>
      <c r="G296" s="49">
        <v>19.3739768945482</v>
      </c>
      <c r="H296" s="49">
        <f t="shared" si="36"/>
        <v>31.28715</v>
      </c>
      <c r="I296" s="49"/>
      <c r="J296" s="49">
        <v>31.28715</v>
      </c>
    </row>
    <row r="297" spans="1:10" x14ac:dyDescent="0.25">
      <c r="A297" s="116"/>
      <c r="B297" s="89" t="s">
        <v>28</v>
      </c>
      <c r="C297" s="89"/>
      <c r="D297" s="89"/>
      <c r="E297" s="49">
        <f t="shared" si="37"/>
        <v>36.028725646286098</v>
      </c>
      <c r="F297" s="49"/>
      <c r="G297" s="49">
        <v>36.028725646286098</v>
      </c>
      <c r="H297" s="49">
        <f t="shared" si="36"/>
        <v>53.154379999999996</v>
      </c>
      <c r="I297" s="49"/>
      <c r="J297" s="49">
        <v>53.154379999999996</v>
      </c>
    </row>
    <row r="298" spans="1:10" x14ac:dyDescent="0.25">
      <c r="A298" s="116"/>
      <c r="B298" s="89" t="s">
        <v>207</v>
      </c>
      <c r="C298" s="89"/>
      <c r="D298" s="89"/>
      <c r="E298" s="49">
        <f>+G298</f>
        <v>62.762924726875795</v>
      </c>
      <c r="F298" s="49"/>
      <c r="G298" s="49">
        <f>62762.9247268758/1000</f>
        <v>62.762924726875795</v>
      </c>
      <c r="H298" s="49">
        <f>+J298</f>
        <v>69.65813</v>
      </c>
      <c r="I298" s="49"/>
      <c r="J298" s="49">
        <f>69658.13/1000</f>
        <v>69.65813</v>
      </c>
    </row>
    <row r="299" spans="1:10" x14ac:dyDescent="0.25">
      <c r="A299" s="116"/>
      <c r="B299" s="89" t="s">
        <v>167</v>
      </c>
      <c r="C299" s="89"/>
      <c r="D299" s="89"/>
      <c r="E299" s="49">
        <f>+G299</f>
        <v>69.311374951127306</v>
      </c>
      <c r="F299" s="49"/>
      <c r="G299" s="49">
        <f>69311.3749511273/1000</f>
        <v>69.311374951127306</v>
      </c>
      <c r="H299" s="49">
        <f>+J299</f>
        <v>85.935960000000009</v>
      </c>
      <c r="I299" s="49"/>
      <c r="J299" s="49">
        <f>85935.96/1000</f>
        <v>85.935960000000009</v>
      </c>
    </row>
    <row r="300" spans="1:10" x14ac:dyDescent="0.25">
      <c r="A300" s="116"/>
      <c r="B300" s="89" t="s">
        <v>146</v>
      </c>
      <c r="C300" s="89"/>
      <c r="D300" s="89"/>
      <c r="E300" s="49">
        <f>+G300</f>
        <v>84.039021912620399</v>
      </c>
      <c r="F300" s="49"/>
      <c r="G300" s="49">
        <f>84039.0219126204/1000</f>
        <v>84.039021912620399</v>
      </c>
      <c r="H300" s="49">
        <f>+J300</f>
        <v>67.729029999999995</v>
      </c>
      <c r="I300" s="49"/>
      <c r="J300" s="49">
        <f>67729.03/1000</f>
        <v>67.729029999999995</v>
      </c>
    </row>
    <row r="301" spans="1:10" x14ac:dyDescent="0.25">
      <c r="A301" s="116"/>
      <c r="B301" s="89" t="s">
        <v>222</v>
      </c>
      <c r="C301" s="89"/>
      <c r="D301" s="89"/>
      <c r="E301" s="49">
        <f>G301</f>
        <v>51.269168922856799</v>
      </c>
      <c r="F301" s="49"/>
      <c r="G301" s="49">
        <v>51.269168922856799</v>
      </c>
      <c r="H301" s="49">
        <f>J301</f>
        <v>22.210819999999998</v>
      </c>
      <c r="I301" s="49"/>
      <c r="J301" s="49">
        <f>22210.82/1000</f>
        <v>22.210819999999998</v>
      </c>
    </row>
    <row r="302" spans="1:10" x14ac:dyDescent="0.25">
      <c r="A302" s="116"/>
      <c r="B302" s="89" t="s">
        <v>223</v>
      </c>
      <c r="C302" s="89"/>
      <c r="D302" s="89"/>
      <c r="E302" s="49">
        <f>+G302</f>
        <v>38.513990972403903</v>
      </c>
      <c r="F302" s="49"/>
      <c r="G302" s="49">
        <f>38513.9909724039/1000</f>
        <v>38.513990972403903</v>
      </c>
      <c r="H302" s="49">
        <f>+J302</f>
        <v>67.410699999999991</v>
      </c>
      <c r="I302" s="49"/>
      <c r="J302" s="49">
        <f>67410.7/1000</f>
        <v>67.410699999999991</v>
      </c>
    </row>
    <row r="303" spans="1:10" x14ac:dyDescent="0.25">
      <c r="A303" s="116"/>
      <c r="B303" s="89" t="s">
        <v>224</v>
      </c>
      <c r="C303" s="89"/>
      <c r="D303" s="89"/>
      <c r="E303" s="49">
        <f>+G303</f>
        <v>88.756210594353604</v>
      </c>
      <c r="F303" s="49"/>
      <c r="G303" s="49">
        <f>88756.2105943536/1000</f>
        <v>88.756210594353604</v>
      </c>
      <c r="H303" s="49">
        <f>J303</f>
        <v>115.79963000000001</v>
      </c>
      <c r="I303" s="49"/>
      <c r="J303" s="49">
        <f>115799.63/1000</f>
        <v>115.79963000000001</v>
      </c>
    </row>
    <row r="304" spans="1:10" x14ac:dyDescent="0.25">
      <c r="A304" s="116"/>
      <c r="B304" s="90" t="s">
        <v>359</v>
      </c>
      <c r="C304" s="91"/>
      <c r="D304" s="92"/>
      <c r="E304" s="49">
        <f>+G304</f>
        <v>104.230889015692</v>
      </c>
      <c r="F304" s="49"/>
      <c r="G304" s="49">
        <f>104230.889015692/1000</f>
        <v>104.230889015692</v>
      </c>
      <c r="H304" s="49">
        <f>+J304</f>
        <v>86.905830000000009</v>
      </c>
      <c r="I304" s="49"/>
      <c r="J304" s="49">
        <f>86905.83/1000</f>
        <v>86.905830000000009</v>
      </c>
    </row>
    <row r="305" spans="1:10" x14ac:dyDescent="0.25">
      <c r="A305" s="116"/>
      <c r="B305" s="90" t="s">
        <v>408</v>
      </c>
      <c r="C305" s="91"/>
      <c r="D305" s="92"/>
      <c r="E305" s="49">
        <f t="shared" ref="E305" si="51">+G305</f>
        <v>52.511060984308095</v>
      </c>
      <c r="F305" s="49"/>
      <c r="G305" s="49">
        <f>52511.0609843081/1000</f>
        <v>52.511060984308095</v>
      </c>
      <c r="H305" s="49">
        <f>+J305</f>
        <v>0</v>
      </c>
      <c r="I305" s="49"/>
      <c r="J305" s="49"/>
    </row>
    <row r="306" spans="1:10" x14ac:dyDescent="0.25">
      <c r="A306" s="116"/>
      <c r="B306" s="90" t="s">
        <v>259</v>
      </c>
      <c r="C306" s="91"/>
      <c r="D306" s="92"/>
      <c r="E306" s="49">
        <f t="shared" ref="E306:E309" si="52">G306</f>
        <v>54.767806710516481</v>
      </c>
      <c r="F306" s="49"/>
      <c r="G306" s="49">
        <f>J306</f>
        <v>54.767806710516481</v>
      </c>
      <c r="H306" s="49">
        <f>J306</f>
        <v>54.767806710516481</v>
      </c>
      <c r="I306" s="49"/>
      <c r="J306" s="49">
        <f>52760.73/1000+2007.07671051648/1000</f>
        <v>54.767806710516481</v>
      </c>
    </row>
    <row r="307" spans="1:10" x14ac:dyDescent="0.25">
      <c r="A307" s="116"/>
      <c r="B307" s="90" t="s">
        <v>360</v>
      </c>
      <c r="C307" s="91"/>
      <c r="D307" s="92"/>
      <c r="E307" s="49">
        <f t="shared" si="52"/>
        <v>51.341673558231918</v>
      </c>
      <c r="F307" s="49"/>
      <c r="G307" s="49">
        <f>J307</f>
        <v>51.341673558231918</v>
      </c>
      <c r="H307" s="49">
        <f>J307</f>
        <v>51.341673558231918</v>
      </c>
      <c r="I307" s="49"/>
      <c r="J307" s="49">
        <f>47794/1000+3547.67355823192/1000</f>
        <v>51.341673558231918</v>
      </c>
    </row>
    <row r="308" spans="1:10" x14ac:dyDescent="0.25">
      <c r="A308" s="116"/>
      <c r="B308" s="90" t="s">
        <v>409</v>
      </c>
      <c r="C308" s="91"/>
      <c r="D308" s="92"/>
      <c r="E308" s="49">
        <f t="shared" si="52"/>
        <v>46.361630716945434</v>
      </c>
      <c r="F308" s="49"/>
      <c r="G308" s="49">
        <f>J308</f>
        <v>46.361630716945434</v>
      </c>
      <c r="H308" s="49">
        <f>J308</f>
        <v>46.361630716945434</v>
      </c>
      <c r="I308" s="49"/>
      <c r="J308" s="49">
        <f>43543.91/1000+2817.72071694543/1000</f>
        <v>46.361630716945434</v>
      </c>
    </row>
    <row r="309" spans="1:10" x14ac:dyDescent="0.25">
      <c r="A309" s="117"/>
      <c r="B309" s="90" t="s">
        <v>452</v>
      </c>
      <c r="C309" s="91"/>
      <c r="D309" s="92"/>
      <c r="E309" s="49">
        <f t="shared" si="52"/>
        <v>34.954103235446652</v>
      </c>
      <c r="F309" s="49"/>
      <c r="G309" s="49">
        <f>J309</f>
        <v>34.954103235446652</v>
      </c>
      <c r="H309" s="49">
        <f>J309</f>
        <v>34.954103235446652</v>
      </c>
      <c r="I309" s="49"/>
      <c r="J309" s="49">
        <f>32980.46/1000+1973.64323544665/1000</f>
        <v>34.954103235446652</v>
      </c>
    </row>
    <row r="310" spans="1:10" ht="15" customHeight="1" x14ac:dyDescent="0.25">
      <c r="A310" s="115" t="s">
        <v>56</v>
      </c>
      <c r="B310" s="89" t="s">
        <v>22</v>
      </c>
      <c r="C310" s="89"/>
      <c r="D310" s="89"/>
      <c r="E310" s="49">
        <f t="shared" si="37"/>
        <v>2.7379134935305003</v>
      </c>
      <c r="F310" s="49"/>
      <c r="G310" s="49">
        <v>2.7379134935305003</v>
      </c>
      <c r="H310" s="49">
        <f t="shared" si="36"/>
        <v>12.05331</v>
      </c>
      <c r="I310" s="49"/>
      <c r="J310" s="49">
        <v>12.05331</v>
      </c>
    </row>
    <row r="311" spans="1:10" x14ac:dyDescent="0.25">
      <c r="A311" s="116"/>
      <c r="B311" s="89" t="s">
        <v>27</v>
      </c>
      <c r="C311" s="89"/>
      <c r="D311" s="89"/>
      <c r="E311" s="49">
        <f t="shared" si="37"/>
        <v>46.918580690983504</v>
      </c>
      <c r="F311" s="49"/>
      <c r="G311" s="49">
        <v>46.918580690983504</v>
      </c>
      <c r="H311" s="49">
        <f t="shared" si="36"/>
        <v>92.869770000000003</v>
      </c>
      <c r="I311" s="49"/>
      <c r="J311" s="49">
        <v>92.869770000000003</v>
      </c>
    </row>
    <row r="312" spans="1:10" x14ac:dyDescent="0.25">
      <c r="A312" s="116"/>
      <c r="B312" s="89" t="s">
        <v>28</v>
      </c>
      <c r="C312" s="89"/>
      <c r="D312" s="89"/>
      <c r="E312" s="49">
        <f t="shared" si="37"/>
        <v>75.111859678784711</v>
      </c>
      <c r="F312" s="49"/>
      <c r="G312" s="49">
        <v>75.111859678784711</v>
      </c>
      <c r="H312" s="49">
        <f t="shared" si="36"/>
        <v>60.590040000000002</v>
      </c>
      <c r="I312" s="49"/>
      <c r="J312" s="49">
        <v>60.590040000000002</v>
      </c>
    </row>
    <row r="313" spans="1:10" x14ac:dyDescent="0.25">
      <c r="A313" s="116"/>
      <c r="B313" s="89" t="s">
        <v>207</v>
      </c>
      <c r="C313" s="89"/>
      <c r="D313" s="89"/>
      <c r="E313" s="49">
        <f>+G313</f>
        <v>96.859166208232097</v>
      </c>
      <c r="F313" s="49"/>
      <c r="G313" s="49">
        <f>96859.1662082321/1000</f>
        <v>96.859166208232097</v>
      </c>
      <c r="H313" s="49">
        <f>+J313</f>
        <v>144.67310000000001</v>
      </c>
      <c r="I313" s="49"/>
      <c r="J313" s="49">
        <f>144673.1/1000</f>
        <v>144.67310000000001</v>
      </c>
    </row>
    <row r="314" spans="1:10" x14ac:dyDescent="0.25">
      <c r="A314" s="116"/>
      <c r="B314" s="89" t="s">
        <v>167</v>
      </c>
      <c r="C314" s="89"/>
      <c r="D314" s="89"/>
      <c r="E314" s="49">
        <f>+G314</f>
        <v>129.230609872603</v>
      </c>
      <c r="F314" s="49"/>
      <c r="G314" s="49">
        <f>129230.609872603/1000</f>
        <v>129.230609872603</v>
      </c>
      <c r="H314" s="49">
        <f>+J314</f>
        <v>131.04499000000001</v>
      </c>
      <c r="I314" s="49"/>
      <c r="J314" s="49">
        <f>131044.99/1000</f>
        <v>131.04499000000001</v>
      </c>
    </row>
    <row r="315" spans="1:10" x14ac:dyDescent="0.25">
      <c r="A315" s="116"/>
      <c r="B315" s="89" t="s">
        <v>146</v>
      </c>
      <c r="C315" s="89"/>
      <c r="D315" s="89"/>
      <c r="E315" s="49">
        <f>+G315</f>
        <v>123.72174148019801</v>
      </c>
      <c r="F315" s="49"/>
      <c r="G315" s="49">
        <f>123721.741480198/1000</f>
        <v>123.72174148019801</v>
      </c>
      <c r="H315" s="49">
        <f>+J315</f>
        <v>91.168449999999993</v>
      </c>
      <c r="I315" s="49"/>
      <c r="J315" s="49">
        <f>91168.45/1000</f>
        <v>91.168449999999993</v>
      </c>
    </row>
    <row r="316" spans="1:10" x14ac:dyDescent="0.25">
      <c r="A316" s="116"/>
      <c r="B316" s="89" t="s">
        <v>222</v>
      </c>
      <c r="C316" s="89"/>
      <c r="D316" s="89"/>
      <c r="E316" s="49">
        <f>G316</f>
        <v>92.658753262316196</v>
      </c>
      <c r="F316" s="49"/>
      <c r="G316" s="49">
        <f>92658.7532623162/1000</f>
        <v>92.658753262316196</v>
      </c>
      <c r="H316" s="49">
        <f>J316</f>
        <v>92.820520000000002</v>
      </c>
      <c r="I316" s="49"/>
      <c r="J316" s="49">
        <f>92820.52/1000</f>
        <v>92.820520000000002</v>
      </c>
    </row>
    <row r="317" spans="1:10" x14ac:dyDescent="0.25">
      <c r="A317" s="116"/>
      <c r="B317" s="89" t="s">
        <v>223</v>
      </c>
      <c r="C317" s="89"/>
      <c r="D317" s="89"/>
      <c r="E317" s="49">
        <f t="shared" ref="E317:E323" si="53">+G317</f>
        <v>229.08080048422801</v>
      </c>
      <c r="F317" s="49"/>
      <c r="G317" s="49">
        <f>229080.800484228/1000</f>
        <v>229.08080048422801</v>
      </c>
      <c r="H317" s="49">
        <f>+J317</f>
        <v>464.24734000000001</v>
      </c>
      <c r="I317" s="49"/>
      <c r="J317" s="49">
        <f>464247.34/1000</f>
        <v>464.24734000000001</v>
      </c>
    </row>
    <row r="318" spans="1:10" x14ac:dyDescent="0.25">
      <c r="A318" s="116"/>
      <c r="B318" s="89" t="s">
        <v>224</v>
      </c>
      <c r="C318" s="89"/>
      <c r="D318" s="89"/>
      <c r="E318" s="49">
        <f t="shared" si="53"/>
        <v>340.47310982912302</v>
      </c>
      <c r="F318" s="49"/>
      <c r="G318" s="49">
        <f>340473.109829123/1000</f>
        <v>340.47310982912302</v>
      </c>
      <c r="H318" s="49">
        <f>J318</f>
        <v>118.72785</v>
      </c>
      <c r="I318" s="49"/>
      <c r="J318" s="49">
        <f>118727.85/1000</f>
        <v>118.72785</v>
      </c>
    </row>
    <row r="319" spans="1:10" x14ac:dyDescent="0.25">
      <c r="A319" s="116"/>
      <c r="B319" s="90" t="s">
        <v>359</v>
      </c>
      <c r="C319" s="91"/>
      <c r="D319" s="92"/>
      <c r="E319" s="49">
        <f t="shared" si="53"/>
        <v>130.595854015692</v>
      </c>
      <c r="F319" s="49"/>
      <c r="G319" s="49">
        <f>130595.854015692/1000</f>
        <v>130.595854015692</v>
      </c>
      <c r="H319" s="49">
        <f>+J319</f>
        <v>149.43131</v>
      </c>
      <c r="I319" s="49"/>
      <c r="J319" s="49">
        <f>149431.31/1000</f>
        <v>149.43131</v>
      </c>
    </row>
    <row r="320" spans="1:10" x14ac:dyDescent="0.25">
      <c r="A320" s="116"/>
      <c r="B320" s="90" t="s">
        <v>408</v>
      </c>
      <c r="C320" s="91"/>
      <c r="D320" s="92"/>
      <c r="E320" s="49">
        <f t="shared" si="53"/>
        <v>150.55220321701302</v>
      </c>
      <c r="F320" s="49"/>
      <c r="G320" s="49">
        <f>150552.203217013/1000</f>
        <v>150.55220321701302</v>
      </c>
      <c r="H320" s="49">
        <f>+J320</f>
        <v>171.83648000000002</v>
      </c>
      <c r="I320" s="49"/>
      <c r="J320" s="49">
        <f>171836.48/1000</f>
        <v>171.83648000000002</v>
      </c>
    </row>
    <row r="321" spans="1:10" x14ac:dyDescent="0.25">
      <c r="A321" s="116"/>
      <c r="B321" s="90" t="s">
        <v>465</v>
      </c>
      <c r="C321" s="91"/>
      <c r="D321" s="92"/>
      <c r="E321" s="49">
        <f>+G321</f>
        <v>355.52438776729599</v>
      </c>
      <c r="F321" s="49"/>
      <c r="G321" s="49">
        <f>355524.387767296/1000</f>
        <v>355.52438776729599</v>
      </c>
      <c r="H321" s="49">
        <f>+J321</f>
        <v>308.64841999999999</v>
      </c>
      <c r="I321" s="49"/>
      <c r="J321" s="49">
        <f>308648.42/1000</f>
        <v>308.64841999999999</v>
      </c>
    </row>
    <row r="322" spans="1:10" ht="28.5" x14ac:dyDescent="0.25">
      <c r="A322" s="116"/>
      <c r="B322" s="89" t="s">
        <v>189</v>
      </c>
      <c r="C322" s="89" t="s">
        <v>193</v>
      </c>
      <c r="D322" s="48"/>
      <c r="E322" s="49">
        <f t="shared" si="53"/>
        <v>96.943789999999993</v>
      </c>
      <c r="F322" s="6" t="s">
        <v>194</v>
      </c>
      <c r="G322" s="49">
        <f>96943.79/1000</f>
        <v>96.943789999999993</v>
      </c>
      <c r="H322" s="49"/>
      <c r="I322" s="49"/>
      <c r="J322" s="49"/>
    </row>
    <row r="323" spans="1:10" ht="28.5" x14ac:dyDescent="0.25">
      <c r="A323" s="116"/>
      <c r="B323" s="89"/>
      <c r="C323" s="89"/>
      <c r="D323" s="48"/>
      <c r="E323" s="49">
        <f t="shared" si="53"/>
        <v>36.256129999999999</v>
      </c>
      <c r="F323" s="6" t="s">
        <v>195</v>
      </c>
      <c r="G323" s="49">
        <f>36256.13/1000</f>
        <v>36.256129999999999</v>
      </c>
      <c r="H323" s="49"/>
      <c r="I323" s="49"/>
      <c r="J323" s="49"/>
    </row>
    <row r="324" spans="1:10" x14ac:dyDescent="0.25">
      <c r="A324" s="116"/>
      <c r="B324" s="90" t="s">
        <v>259</v>
      </c>
      <c r="C324" s="91"/>
      <c r="D324" s="92"/>
      <c r="E324" s="49">
        <f t="shared" ref="E324:E327" si="54">G324</f>
        <v>70.309711136860372</v>
      </c>
      <c r="F324" s="49"/>
      <c r="G324" s="49">
        <f>J324</f>
        <v>70.309711136860372</v>
      </c>
      <c r="H324" s="49">
        <f>J324</f>
        <v>70.309711136860372</v>
      </c>
      <c r="I324" s="49"/>
      <c r="J324" s="49">
        <f>67733.07/1000+2576.64113686036/1000</f>
        <v>70.309711136860372</v>
      </c>
    </row>
    <row r="325" spans="1:10" x14ac:dyDescent="0.25">
      <c r="A325" s="116"/>
      <c r="B325" s="90" t="s">
        <v>360</v>
      </c>
      <c r="C325" s="91"/>
      <c r="D325" s="92"/>
      <c r="E325" s="49">
        <f t="shared" si="54"/>
        <v>65.911315582046811</v>
      </c>
      <c r="F325" s="49"/>
      <c r="G325" s="49">
        <f>J325</f>
        <v>65.911315582046811</v>
      </c>
      <c r="H325" s="49">
        <f>J325</f>
        <v>65.911315582046811</v>
      </c>
      <c r="I325" s="49"/>
      <c r="J325" s="49">
        <f>61356.89/1000+4554.42558204681/1000</f>
        <v>65.911315582046811</v>
      </c>
    </row>
    <row r="326" spans="1:10" x14ac:dyDescent="0.25">
      <c r="A326" s="116"/>
      <c r="B326" s="90" t="s">
        <v>409</v>
      </c>
      <c r="C326" s="91"/>
      <c r="D326" s="92"/>
      <c r="E326" s="49">
        <f t="shared" si="54"/>
        <v>59.518090863144685</v>
      </c>
      <c r="F326" s="49"/>
      <c r="G326" s="49">
        <f>J326</f>
        <v>59.518090863144685</v>
      </c>
      <c r="H326" s="49">
        <f>J326</f>
        <v>59.518090863144685</v>
      </c>
      <c r="I326" s="49"/>
      <c r="J326" s="49">
        <f>55900.76/1000+3617.33086314468/1000</f>
        <v>59.518090863144685</v>
      </c>
    </row>
    <row r="327" spans="1:10" x14ac:dyDescent="0.25">
      <c r="A327" s="117"/>
      <c r="B327" s="90" t="s">
        <v>452</v>
      </c>
      <c r="C327" s="91"/>
      <c r="D327" s="92"/>
      <c r="E327" s="49">
        <f t="shared" si="54"/>
        <v>47.062733093179119</v>
      </c>
      <c r="F327" s="49"/>
      <c r="G327" s="49">
        <f>J327</f>
        <v>47.062733093179119</v>
      </c>
      <c r="H327" s="49">
        <f>J327</f>
        <v>47.062733093179119</v>
      </c>
      <c r="I327" s="49"/>
      <c r="J327" s="49">
        <f>44405.39/1000+2657.34309317912/1000</f>
        <v>47.062733093179119</v>
      </c>
    </row>
    <row r="328" spans="1:10" ht="15" customHeight="1" x14ac:dyDescent="0.25">
      <c r="A328" s="93" t="s">
        <v>29</v>
      </c>
      <c r="B328" s="89" t="s">
        <v>22</v>
      </c>
      <c r="C328" s="89"/>
      <c r="D328" s="89"/>
      <c r="E328" s="49">
        <f t="shared" si="37"/>
        <v>87.97822871794871</v>
      </c>
      <c r="F328" s="49"/>
      <c r="G328" s="49">
        <v>87.97822871794871</v>
      </c>
      <c r="H328" s="49"/>
      <c r="I328" s="49"/>
      <c r="J328" s="49"/>
    </row>
    <row r="329" spans="1:10" x14ac:dyDescent="0.25">
      <c r="A329" s="99"/>
      <c r="B329" s="90" t="s">
        <v>359</v>
      </c>
      <c r="C329" s="91"/>
      <c r="D329" s="92"/>
      <c r="E329" s="49">
        <f>+G329</f>
        <v>6.2202427104136895</v>
      </c>
      <c r="F329" s="49"/>
      <c r="G329" s="49">
        <f>6220.24271041369/1000</f>
        <v>6.2202427104136895</v>
      </c>
      <c r="H329" s="49">
        <f>+J329</f>
        <v>15.683770000000001</v>
      </c>
      <c r="I329" s="49"/>
      <c r="J329" s="49">
        <f>15683.77/1000</f>
        <v>15.683770000000001</v>
      </c>
    </row>
    <row r="330" spans="1:10" x14ac:dyDescent="0.25">
      <c r="A330" s="99"/>
      <c r="B330" s="90" t="s">
        <v>408</v>
      </c>
      <c r="C330" s="91"/>
      <c r="D330" s="92"/>
      <c r="E330" s="49">
        <f>+G330</f>
        <v>16.552552698391299</v>
      </c>
      <c r="F330" s="49"/>
      <c r="G330" s="49">
        <f>16552.5526983913/1000</f>
        <v>16.552552698391299</v>
      </c>
      <c r="H330" s="49">
        <f>+J330</f>
        <v>20.567119999999999</v>
      </c>
      <c r="I330" s="49"/>
      <c r="J330" s="49">
        <f>20567.12/1000</f>
        <v>20.567119999999999</v>
      </c>
    </row>
    <row r="331" spans="1:10" x14ac:dyDescent="0.25">
      <c r="A331" s="99"/>
      <c r="B331" s="90" t="s">
        <v>465</v>
      </c>
      <c r="C331" s="91"/>
      <c r="D331" s="92"/>
      <c r="E331" s="49">
        <f>+G331</f>
        <v>28.436554591194998</v>
      </c>
      <c r="F331" s="49"/>
      <c r="G331" s="49">
        <f>28436.554591195/1000</f>
        <v>28.436554591194998</v>
      </c>
      <c r="H331" s="49">
        <f>+J331</f>
        <v>19.156970000000001</v>
      </c>
      <c r="I331" s="49"/>
      <c r="J331" s="49">
        <f>19156.97/1000</f>
        <v>19.156970000000001</v>
      </c>
    </row>
    <row r="332" spans="1:10" x14ac:dyDescent="0.25">
      <c r="A332" s="99"/>
      <c r="B332" s="90" t="s">
        <v>259</v>
      </c>
      <c r="C332" s="91"/>
      <c r="D332" s="92"/>
      <c r="E332" s="49">
        <f t="shared" si="37"/>
        <v>88.316226189226896</v>
      </c>
      <c r="F332" s="49"/>
      <c r="G332" s="49">
        <f>J332</f>
        <v>88.316226189226896</v>
      </c>
      <c r="H332" s="49">
        <f>J332</f>
        <v>88.316226189226896</v>
      </c>
      <c r="I332" s="49"/>
      <c r="J332" s="49">
        <f>85079.7/1000+3236.5261892269/1000</f>
        <v>88.316226189226896</v>
      </c>
    </row>
    <row r="333" spans="1:10" x14ac:dyDescent="0.25">
      <c r="A333" s="99"/>
      <c r="B333" s="90" t="s">
        <v>360</v>
      </c>
      <c r="C333" s="91"/>
      <c r="D333" s="92"/>
      <c r="E333" s="49">
        <f t="shared" si="37"/>
        <v>82.791386627403597</v>
      </c>
      <c r="F333" s="49"/>
      <c r="G333" s="49">
        <f>J333</f>
        <v>82.791386627403597</v>
      </c>
      <c r="H333" s="49">
        <f>J333</f>
        <v>82.791386627403597</v>
      </c>
      <c r="I333" s="49"/>
      <c r="J333" s="49">
        <f>77070.56/1000+5720.82662740359/1000</f>
        <v>82.791386627403597</v>
      </c>
    </row>
    <row r="334" spans="1:10" x14ac:dyDescent="0.25">
      <c r="A334" s="99"/>
      <c r="B334" s="90" t="s">
        <v>409</v>
      </c>
      <c r="C334" s="91"/>
      <c r="D334" s="92"/>
      <c r="E334" s="49">
        <f t="shared" si="37"/>
        <v>74.760828703681454</v>
      </c>
      <c r="F334" s="49"/>
      <c r="G334" s="49">
        <f>J334</f>
        <v>74.760828703681454</v>
      </c>
      <c r="H334" s="49">
        <f>J334</f>
        <v>74.760828703681454</v>
      </c>
      <c r="I334" s="49"/>
      <c r="J334" s="49">
        <f>70217.09/1000+4543.73870368145/1000</f>
        <v>74.760828703681454</v>
      </c>
    </row>
    <row r="335" spans="1:10" x14ac:dyDescent="0.25">
      <c r="A335" s="94"/>
      <c r="B335" s="90" t="s">
        <v>452</v>
      </c>
      <c r="C335" s="91"/>
      <c r="D335" s="92"/>
      <c r="E335" s="49">
        <f t="shared" si="37"/>
        <v>63.323996635614513</v>
      </c>
      <c r="F335" s="49"/>
      <c r="G335" s="49">
        <f>J335</f>
        <v>63.323996635614513</v>
      </c>
      <c r="H335" s="49">
        <f>J335</f>
        <v>63.323996635614513</v>
      </c>
      <c r="I335" s="49"/>
      <c r="J335" s="49">
        <f>59748.48/1000+3575.51663561451/1000</f>
        <v>63.323996635614513</v>
      </c>
    </row>
    <row r="336" spans="1:10" ht="15" customHeight="1" x14ac:dyDescent="0.25">
      <c r="A336" s="93" t="s">
        <v>169</v>
      </c>
      <c r="B336" s="90" t="s">
        <v>22</v>
      </c>
      <c r="C336" s="91"/>
      <c r="D336" s="92"/>
      <c r="E336" s="49">
        <f t="shared" si="37"/>
        <v>0.81301885397412199</v>
      </c>
      <c r="F336" s="49"/>
      <c r="G336" s="49">
        <v>0.81301885397412199</v>
      </c>
      <c r="H336" s="49">
        <f t="shared" si="36"/>
        <v>3.5792299999999999</v>
      </c>
      <c r="I336" s="49"/>
      <c r="J336" s="49">
        <v>3.5792299999999999</v>
      </c>
    </row>
    <row r="337" spans="1:10" x14ac:dyDescent="0.25">
      <c r="A337" s="99"/>
      <c r="B337" s="90" t="s">
        <v>27</v>
      </c>
      <c r="C337" s="91"/>
      <c r="D337" s="92"/>
      <c r="E337" s="49">
        <f t="shared" si="37"/>
        <v>3.4124793503092401</v>
      </c>
      <c r="F337" s="49"/>
      <c r="G337" s="49">
        <v>3.4124793503092401</v>
      </c>
      <c r="H337" s="49">
        <f t="shared" si="36"/>
        <v>1.5960799999999999</v>
      </c>
      <c r="I337" s="49"/>
      <c r="J337" s="49">
        <v>1.5960799999999999</v>
      </c>
    </row>
    <row r="338" spans="1:10" x14ac:dyDescent="0.25">
      <c r="A338" s="99"/>
      <c r="B338" s="90" t="s">
        <v>28</v>
      </c>
      <c r="C338" s="91"/>
      <c r="D338" s="92"/>
      <c r="E338" s="49">
        <f t="shared" si="37"/>
        <v>1.4573966694164902</v>
      </c>
      <c r="F338" s="49"/>
      <c r="G338" s="49">
        <v>1.4573966694164902</v>
      </c>
      <c r="H338" s="49">
        <f t="shared" si="36"/>
        <v>1.5497000000000001</v>
      </c>
      <c r="I338" s="49"/>
      <c r="J338" s="49">
        <v>1.5497000000000001</v>
      </c>
    </row>
    <row r="339" spans="1:10" x14ac:dyDescent="0.25">
      <c r="A339" s="99"/>
      <c r="B339" s="90" t="s">
        <v>207</v>
      </c>
      <c r="C339" s="91"/>
      <c r="D339" s="92"/>
      <c r="E339" s="49">
        <f>+G339</f>
        <v>7.21610027651474</v>
      </c>
      <c r="F339" s="49"/>
      <c r="G339" s="49">
        <f>7216.10027651474/1000</f>
        <v>7.21610027651474</v>
      </c>
      <c r="H339" s="49">
        <f>+J339</f>
        <v>15.91766</v>
      </c>
      <c r="I339" s="49"/>
      <c r="J339" s="49">
        <f>15917.66/1000</f>
        <v>15.91766</v>
      </c>
    </row>
    <row r="340" spans="1:10" x14ac:dyDescent="0.25">
      <c r="A340" s="99"/>
      <c r="B340" s="90" t="s">
        <v>167</v>
      </c>
      <c r="C340" s="91"/>
      <c r="D340" s="92"/>
      <c r="E340" s="49">
        <f>+G340</f>
        <v>12.203420361889702</v>
      </c>
      <c r="F340" s="49"/>
      <c r="G340" s="49">
        <f>12203.4203618897/1000</f>
        <v>12.203420361889702</v>
      </c>
      <c r="H340" s="49">
        <f>+J340</f>
        <v>7.9252900000000004</v>
      </c>
      <c r="I340" s="49"/>
      <c r="J340" s="49">
        <f>7925.29/1000</f>
        <v>7.9252900000000004</v>
      </c>
    </row>
    <row r="341" spans="1:10" x14ac:dyDescent="0.25">
      <c r="A341" s="99"/>
      <c r="B341" s="90" t="s">
        <v>146</v>
      </c>
      <c r="C341" s="91"/>
      <c r="D341" s="92"/>
      <c r="E341" s="49">
        <f>+G341</f>
        <v>5.4655444878957198</v>
      </c>
      <c r="F341" s="49"/>
      <c r="G341" s="49">
        <f>5465.54448789572/1000</f>
        <v>5.4655444878957198</v>
      </c>
      <c r="H341" s="49"/>
      <c r="I341" s="49"/>
      <c r="J341" s="49"/>
    </row>
    <row r="342" spans="1:10" x14ac:dyDescent="0.25">
      <c r="A342" s="99"/>
      <c r="B342" s="90" t="s">
        <v>222</v>
      </c>
      <c r="C342" s="91"/>
      <c r="D342" s="92"/>
      <c r="E342" s="49">
        <f>G342</f>
        <v>6.0199388828337899</v>
      </c>
      <c r="F342" s="49"/>
      <c r="G342" s="49">
        <v>6.0199388828337899</v>
      </c>
      <c r="H342" s="49">
        <f>J342</f>
        <v>15.997909999999999</v>
      </c>
      <c r="I342" s="49"/>
      <c r="J342" s="49">
        <f>15997.91/1000</f>
        <v>15.997909999999999</v>
      </c>
    </row>
    <row r="343" spans="1:10" x14ac:dyDescent="0.25">
      <c r="A343" s="99"/>
      <c r="B343" s="90" t="s">
        <v>223</v>
      </c>
      <c r="C343" s="91"/>
      <c r="D343" s="92"/>
      <c r="E343" s="49">
        <f>G343</f>
        <v>9.9779711171662093</v>
      </c>
      <c r="F343" s="49"/>
      <c r="G343" s="49">
        <f>9977.97111716621/1000</f>
        <v>9.9779711171662093</v>
      </c>
      <c r="H343" s="49"/>
      <c r="I343" s="49"/>
      <c r="J343" s="49"/>
    </row>
    <row r="344" spans="1:10" x14ac:dyDescent="0.25">
      <c r="A344" s="99"/>
      <c r="B344" s="90" t="s">
        <v>224</v>
      </c>
      <c r="C344" s="91"/>
      <c r="D344" s="92"/>
      <c r="E344" s="49">
        <f>G344</f>
        <v>4.6290150000000008</v>
      </c>
      <c r="F344" s="49"/>
      <c r="G344" s="49">
        <f>4629.015/1000</f>
        <v>4.6290150000000008</v>
      </c>
      <c r="H344" s="49">
        <f>J344</f>
        <v>12.05372</v>
      </c>
      <c r="I344" s="49"/>
      <c r="J344" s="49">
        <f>12053.72/1000</f>
        <v>12.05372</v>
      </c>
    </row>
    <row r="345" spans="1:10" x14ac:dyDescent="0.25">
      <c r="A345" s="99"/>
      <c r="B345" s="90" t="s">
        <v>359</v>
      </c>
      <c r="C345" s="91"/>
      <c r="D345" s="92"/>
      <c r="E345" s="49">
        <f>+G345</f>
        <v>12.2503962838802</v>
      </c>
      <c r="F345" s="49"/>
      <c r="G345" s="49">
        <f>12250.3962838802/1000</f>
        <v>12.2503962838802</v>
      </c>
      <c r="H345" s="49">
        <f>+J345</f>
        <v>12.15781</v>
      </c>
      <c r="I345" s="49"/>
      <c r="J345" s="49">
        <f>12157.81/1000</f>
        <v>12.15781</v>
      </c>
    </row>
    <row r="346" spans="1:10" x14ac:dyDescent="0.25">
      <c r="A346" s="99"/>
      <c r="B346" s="90" t="s">
        <v>408</v>
      </c>
      <c r="C346" s="91"/>
      <c r="D346" s="92"/>
      <c r="E346" s="49">
        <f>+G346</f>
        <v>57.458208936245605</v>
      </c>
      <c r="F346" s="49"/>
      <c r="G346" s="49">
        <f>57458.2089362456/1000</f>
        <v>57.458208936245605</v>
      </c>
      <c r="H346" s="49">
        <f>+J346</f>
        <v>142.5778</v>
      </c>
      <c r="I346" s="49"/>
      <c r="J346" s="49">
        <f>142577.8/1000</f>
        <v>142.5778</v>
      </c>
    </row>
    <row r="347" spans="1:10" x14ac:dyDescent="0.25">
      <c r="A347" s="99"/>
      <c r="B347" s="90" t="s">
        <v>465</v>
      </c>
      <c r="C347" s="91"/>
      <c r="D347" s="92"/>
      <c r="E347" s="49">
        <f>+G347</f>
        <v>92.451709779874207</v>
      </c>
      <c r="F347" s="49"/>
      <c r="G347" s="49">
        <f>92451.7097798742/1000</f>
        <v>92.451709779874207</v>
      </c>
      <c r="H347" s="49">
        <f>+J347</f>
        <v>0</v>
      </c>
      <c r="I347" s="49"/>
      <c r="J347" s="49"/>
    </row>
    <row r="348" spans="1:10" x14ac:dyDescent="0.25">
      <c r="A348" s="99"/>
      <c r="B348" s="90" t="s">
        <v>259</v>
      </c>
      <c r="C348" s="91"/>
      <c r="D348" s="92"/>
      <c r="E348" s="49">
        <f t="shared" ref="E348:E349" si="55">G348</f>
        <v>324.02796826594209</v>
      </c>
      <c r="F348" s="49"/>
      <c r="G348" s="49">
        <f>J348</f>
        <v>324.02796826594209</v>
      </c>
      <c r="H348" s="49">
        <f t="shared" ref="H348:H354" si="56">J348</f>
        <v>324.02796826594209</v>
      </c>
      <c r="I348" s="49"/>
      <c r="J348" s="49">
        <f>312153.31/1000+11874.6582659421/1000</f>
        <v>324.02796826594209</v>
      </c>
    </row>
    <row r="349" spans="1:10" x14ac:dyDescent="0.25">
      <c r="A349" s="99"/>
      <c r="B349" s="90" t="s">
        <v>360</v>
      </c>
      <c r="C349" s="91"/>
      <c r="D349" s="92"/>
      <c r="E349" s="49">
        <f t="shared" si="55"/>
        <v>339.34507626700372</v>
      </c>
      <c r="F349" s="49"/>
      <c r="G349" s="49">
        <f>J349</f>
        <v>339.34507626700372</v>
      </c>
      <c r="H349" s="49">
        <f t="shared" si="56"/>
        <v>339.34507626700372</v>
      </c>
      <c r="I349" s="49"/>
      <c r="J349" s="49">
        <f>315896.57/1000+23448.5062670037/1000</f>
        <v>339.34507626700372</v>
      </c>
    </row>
    <row r="350" spans="1:10" x14ac:dyDescent="0.25">
      <c r="A350" s="99"/>
      <c r="B350" s="90" t="s">
        <v>409</v>
      </c>
      <c r="C350" s="91"/>
      <c r="D350" s="92"/>
      <c r="E350" s="49">
        <f t="shared" ref="E350:E351" si="57">G350</f>
        <v>246.09830615246349</v>
      </c>
      <c r="F350" s="49"/>
      <c r="G350" s="49">
        <f>J350</f>
        <v>246.09830615246349</v>
      </c>
      <c r="H350" s="49">
        <f t="shared" si="56"/>
        <v>246.09830615246349</v>
      </c>
      <c r="I350" s="49"/>
      <c r="J350" s="49">
        <f>231141.19/1000+14957.1161524635/1000</f>
        <v>246.09830615246349</v>
      </c>
    </row>
    <row r="351" spans="1:10" x14ac:dyDescent="0.25">
      <c r="A351" s="94"/>
      <c r="B351" s="90" t="s">
        <v>452</v>
      </c>
      <c r="C351" s="91"/>
      <c r="D351" s="92"/>
      <c r="E351" s="49">
        <f t="shared" si="57"/>
        <v>334.83273527729057</v>
      </c>
      <c r="F351" s="49"/>
      <c r="G351" s="49">
        <f>J351</f>
        <v>334.83273527729057</v>
      </c>
      <c r="H351" s="49">
        <f t="shared" si="56"/>
        <v>334.83273527729057</v>
      </c>
      <c r="I351" s="49"/>
      <c r="J351" s="49">
        <f>315926.79/1000+18905.9452772906/1000</f>
        <v>334.83273527729057</v>
      </c>
    </row>
    <row r="352" spans="1:10" ht="28.5" x14ac:dyDescent="0.25">
      <c r="A352" s="93" t="s">
        <v>30</v>
      </c>
      <c r="B352" s="93" t="s">
        <v>289</v>
      </c>
      <c r="C352" s="93" t="s">
        <v>262</v>
      </c>
      <c r="D352" s="109">
        <f>56631876.34/1000</f>
        <v>56631.876340000003</v>
      </c>
      <c r="E352" s="49">
        <f>+G352</f>
        <v>2500</v>
      </c>
      <c r="F352" s="6" t="s">
        <v>261</v>
      </c>
      <c r="G352" s="49">
        <f>2500000/1000</f>
        <v>2500</v>
      </c>
      <c r="H352" s="49">
        <f t="shared" si="56"/>
        <v>424.64104799999996</v>
      </c>
      <c r="I352" s="47" t="s">
        <v>476</v>
      </c>
      <c r="J352" s="49">
        <f>353867.54*1.2/1000</f>
        <v>424.64104799999996</v>
      </c>
    </row>
    <row r="353" spans="1:10" s="4" customFormat="1" ht="28.5" x14ac:dyDescent="0.25">
      <c r="A353" s="99"/>
      <c r="B353" s="99"/>
      <c r="C353" s="99"/>
      <c r="D353" s="110"/>
      <c r="E353" s="49"/>
      <c r="F353" s="6"/>
      <c r="G353" s="49"/>
      <c r="H353" s="49">
        <f t="shared" si="56"/>
        <v>3273.5537760000002</v>
      </c>
      <c r="I353" s="47" t="s">
        <v>477</v>
      </c>
      <c r="J353" s="49">
        <f>2727961.48*1.2/1000</f>
        <v>3273.5537760000002</v>
      </c>
    </row>
    <row r="354" spans="1:10" s="4" customFormat="1" ht="28.5" x14ac:dyDescent="0.25">
      <c r="A354" s="99"/>
      <c r="B354" s="94"/>
      <c r="C354" s="94"/>
      <c r="D354" s="111"/>
      <c r="E354" s="49"/>
      <c r="F354" s="6"/>
      <c r="G354" s="49"/>
      <c r="H354" s="49">
        <f t="shared" si="56"/>
        <v>555.53468399999997</v>
      </c>
      <c r="I354" s="47" t="s">
        <v>478</v>
      </c>
      <c r="J354" s="49">
        <f>462945.57*1.2/1000</f>
        <v>555.53468399999997</v>
      </c>
    </row>
    <row r="355" spans="1:10" ht="42.75" x14ac:dyDescent="0.25">
      <c r="A355" s="99"/>
      <c r="B355" s="48" t="s">
        <v>290</v>
      </c>
      <c r="C355" s="48" t="s">
        <v>263</v>
      </c>
      <c r="D355" s="49">
        <f>2150443.94/1000</f>
        <v>2150.4439400000001</v>
      </c>
      <c r="E355" s="49">
        <f t="shared" ref="E355:E361" si="58">+G355</f>
        <v>404.39484999999996</v>
      </c>
      <c r="F355" s="6" t="s">
        <v>264</v>
      </c>
      <c r="G355" s="49">
        <f>404394.85/1000</f>
        <v>404.39484999999996</v>
      </c>
      <c r="H355" s="49"/>
      <c r="I355" s="47"/>
      <c r="J355" s="49"/>
    </row>
    <row r="356" spans="1:10" ht="42.75" x14ac:dyDescent="0.25">
      <c r="A356" s="99"/>
      <c r="B356" s="48" t="s">
        <v>361</v>
      </c>
      <c r="C356" s="42" t="s">
        <v>341</v>
      </c>
      <c r="D356" s="46">
        <v>28357.769499999999</v>
      </c>
      <c r="E356" s="49">
        <f t="shared" si="58"/>
        <v>90.364990000000006</v>
      </c>
      <c r="F356" s="6" t="s">
        <v>342</v>
      </c>
      <c r="G356" s="49">
        <f>90364.99/1000</f>
        <v>90.364990000000006</v>
      </c>
      <c r="H356" s="49"/>
      <c r="I356" s="47"/>
      <c r="J356" s="49"/>
    </row>
    <row r="357" spans="1:10" ht="28.5" customHeight="1" x14ac:dyDescent="0.25">
      <c r="A357" s="99"/>
      <c r="B357" s="93" t="s">
        <v>138</v>
      </c>
      <c r="C357" s="93" t="s">
        <v>265</v>
      </c>
      <c r="D357" s="109">
        <f>829549.44/1000</f>
        <v>829.54943999999989</v>
      </c>
      <c r="E357" s="49">
        <f t="shared" si="58"/>
        <v>243.96696</v>
      </c>
      <c r="F357" s="6" t="s">
        <v>266</v>
      </c>
      <c r="G357" s="49">
        <f>243966.96/1000</f>
        <v>243.96696</v>
      </c>
      <c r="H357" s="49"/>
      <c r="I357" s="47"/>
      <c r="J357" s="49"/>
    </row>
    <row r="358" spans="1:10" ht="28.5" x14ac:dyDescent="0.25">
      <c r="A358" s="99"/>
      <c r="B358" s="99"/>
      <c r="C358" s="94"/>
      <c r="D358" s="111"/>
      <c r="E358" s="49">
        <f t="shared" si="58"/>
        <v>587.60394999999994</v>
      </c>
      <c r="F358" s="6" t="s">
        <v>340</v>
      </c>
      <c r="G358" s="49">
        <f>587603.95/1000</f>
        <v>587.60394999999994</v>
      </c>
      <c r="H358" s="49"/>
      <c r="I358" s="47"/>
      <c r="J358" s="49"/>
    </row>
    <row r="359" spans="1:10" ht="42.75" x14ac:dyDescent="0.25">
      <c r="A359" s="99"/>
      <c r="B359" s="99"/>
      <c r="C359" s="48" t="s">
        <v>144</v>
      </c>
      <c r="D359" s="49">
        <f>5951.8063-2770881.24/1000</f>
        <v>3180.92506</v>
      </c>
      <c r="E359" s="49">
        <f t="shared" si="58"/>
        <v>342.92735999999996</v>
      </c>
      <c r="F359" s="6" t="s">
        <v>348</v>
      </c>
      <c r="G359" s="49">
        <f>342927.36/1000</f>
        <v>342.92735999999996</v>
      </c>
      <c r="H359" s="49"/>
      <c r="I359" s="47"/>
      <c r="J359" s="49"/>
    </row>
    <row r="360" spans="1:10" ht="28.5" x14ac:dyDescent="0.25">
      <c r="A360" s="99"/>
      <c r="B360" s="99"/>
      <c r="C360" s="93" t="s">
        <v>386</v>
      </c>
      <c r="D360" s="109">
        <v>1537.0745300000001</v>
      </c>
      <c r="E360" s="49">
        <f t="shared" si="58"/>
        <v>770.41750999999999</v>
      </c>
      <c r="F360" s="6" t="s">
        <v>387</v>
      </c>
      <c r="G360" s="49">
        <f>770417.51/1000</f>
        <v>770.41750999999999</v>
      </c>
      <c r="H360" s="49"/>
      <c r="I360" s="47"/>
      <c r="J360" s="49"/>
    </row>
    <row r="361" spans="1:10" ht="28.5" x14ac:dyDescent="0.25">
      <c r="A361" s="99"/>
      <c r="B361" s="94"/>
      <c r="C361" s="94"/>
      <c r="D361" s="111"/>
      <c r="E361" s="49">
        <f t="shared" si="58"/>
        <v>770.41750999999999</v>
      </c>
      <c r="F361" s="6" t="s">
        <v>412</v>
      </c>
      <c r="G361" s="49">
        <f>770417.51/1000</f>
        <v>770.41750999999999</v>
      </c>
      <c r="H361" s="49"/>
      <c r="I361" s="47"/>
      <c r="J361" s="49"/>
    </row>
    <row r="362" spans="1:10" ht="28.5" x14ac:dyDescent="0.25">
      <c r="A362" s="99"/>
      <c r="B362" s="93" t="s">
        <v>104</v>
      </c>
      <c r="C362" s="93" t="s">
        <v>267</v>
      </c>
      <c r="D362" s="109"/>
      <c r="E362" s="49">
        <f t="shared" ref="E362:E366" si="59">+G362</f>
        <v>212.49498000000003</v>
      </c>
      <c r="F362" s="6" t="s">
        <v>268</v>
      </c>
      <c r="G362" s="49">
        <f>(126260.21+50818.94)/1000*1.2</f>
        <v>212.49498000000003</v>
      </c>
      <c r="H362" s="49"/>
      <c r="I362" s="47"/>
      <c r="J362" s="49"/>
    </row>
    <row r="363" spans="1:10" ht="28.5" x14ac:dyDescent="0.25">
      <c r="A363" s="99"/>
      <c r="B363" s="99"/>
      <c r="C363" s="99"/>
      <c r="D363" s="110"/>
      <c r="E363" s="49">
        <f t="shared" si="59"/>
        <v>48.1813</v>
      </c>
      <c r="F363" s="6" t="s">
        <v>355</v>
      </c>
      <c r="G363" s="49">
        <f>48181.3/1000</f>
        <v>48.1813</v>
      </c>
      <c r="H363" s="49"/>
      <c r="I363" s="47"/>
      <c r="J363" s="49"/>
    </row>
    <row r="364" spans="1:10" ht="28.5" x14ac:dyDescent="0.25">
      <c r="A364" s="99"/>
      <c r="B364" s="94"/>
      <c r="C364" s="94"/>
      <c r="D364" s="111"/>
      <c r="E364" s="49">
        <f t="shared" si="59"/>
        <v>53.250900000000001</v>
      </c>
      <c r="F364" s="6" t="s">
        <v>357</v>
      </c>
      <c r="G364" s="49">
        <f>53250.9/1000</f>
        <v>53.250900000000001</v>
      </c>
      <c r="H364" s="49"/>
      <c r="I364" s="47"/>
      <c r="J364" s="49"/>
    </row>
    <row r="365" spans="1:10" ht="28.5" x14ac:dyDescent="0.25">
      <c r="A365" s="99"/>
      <c r="B365" s="42"/>
      <c r="C365" s="42"/>
      <c r="D365" s="46"/>
      <c r="E365" s="49">
        <f t="shared" si="59"/>
        <v>182.1267</v>
      </c>
      <c r="F365" s="6" t="s">
        <v>507</v>
      </c>
      <c r="G365" s="49">
        <f>182126.7/1000</f>
        <v>182.1267</v>
      </c>
      <c r="H365" s="49"/>
      <c r="I365" s="47"/>
      <c r="J365" s="49"/>
    </row>
    <row r="366" spans="1:10" ht="42.75" x14ac:dyDescent="0.25">
      <c r="A366" s="99"/>
      <c r="B366" s="48" t="s">
        <v>345</v>
      </c>
      <c r="C366" s="48" t="s">
        <v>346</v>
      </c>
      <c r="D366" s="49">
        <v>4169.8975499999997</v>
      </c>
      <c r="E366" s="49">
        <f t="shared" si="59"/>
        <v>119.86748</v>
      </c>
      <c r="F366" s="6" t="s">
        <v>347</v>
      </c>
      <c r="G366" s="49">
        <f>119867.48/1000</f>
        <v>119.86748</v>
      </c>
      <c r="H366" s="49"/>
      <c r="I366" s="47"/>
      <c r="J366" s="49"/>
    </row>
    <row r="367" spans="1:10" x14ac:dyDescent="0.25">
      <c r="A367" s="99"/>
      <c r="B367" s="88" t="s">
        <v>454</v>
      </c>
      <c r="C367" s="88"/>
      <c r="D367" s="88"/>
      <c r="E367" s="23"/>
      <c r="F367" s="23"/>
      <c r="G367" s="23"/>
      <c r="H367" s="7">
        <f t="shared" ref="H367" si="60">J367</f>
        <v>1315.4176319999999</v>
      </c>
      <c r="I367" s="3" t="s">
        <v>63</v>
      </c>
      <c r="J367" s="7">
        <f>1096181.36*1.2/1000</f>
        <v>1315.4176319999999</v>
      </c>
    </row>
    <row r="368" spans="1:10" x14ac:dyDescent="0.25">
      <c r="A368" s="99"/>
      <c r="B368" s="89" t="s">
        <v>22</v>
      </c>
      <c r="C368" s="89"/>
      <c r="D368" s="89"/>
      <c r="E368" s="49">
        <f t="shared" si="37"/>
        <v>89.698058105176102</v>
      </c>
      <c r="F368" s="49"/>
      <c r="G368" s="49">
        <v>89.698058105176102</v>
      </c>
      <c r="H368" s="49">
        <f t="shared" si="36"/>
        <v>20.98903</v>
      </c>
      <c r="I368" s="49"/>
      <c r="J368" s="49">
        <v>20.98903</v>
      </c>
    </row>
    <row r="369" spans="1:10" x14ac:dyDescent="0.25">
      <c r="A369" s="99"/>
      <c r="B369" s="89" t="s">
        <v>27</v>
      </c>
      <c r="C369" s="89"/>
      <c r="D369" s="89"/>
      <c r="E369" s="49">
        <f t="shared" si="37"/>
        <v>30.628239946800601</v>
      </c>
      <c r="F369" s="49"/>
      <c r="G369" s="49">
        <v>30.628239946800601</v>
      </c>
      <c r="H369" s="49">
        <f t="shared" si="36"/>
        <v>35.581060000000001</v>
      </c>
      <c r="I369" s="49"/>
      <c r="J369" s="49">
        <v>35.581060000000001</v>
      </c>
    </row>
    <row r="370" spans="1:10" x14ac:dyDescent="0.25">
      <c r="A370" s="99"/>
      <c r="B370" s="89" t="s">
        <v>28</v>
      </c>
      <c r="C370" s="89"/>
      <c r="D370" s="89"/>
      <c r="E370" s="49">
        <f t="shared" si="37"/>
        <v>27.840310536729699</v>
      </c>
      <c r="F370" s="49"/>
      <c r="G370" s="49">
        <v>27.840310536729699</v>
      </c>
      <c r="H370" s="49">
        <f t="shared" si="36"/>
        <v>20.352430000000002</v>
      </c>
      <c r="I370" s="49"/>
      <c r="J370" s="49">
        <v>20.352430000000002</v>
      </c>
    </row>
    <row r="371" spans="1:10" x14ac:dyDescent="0.25">
      <c r="A371" s="99"/>
      <c r="B371" s="89" t="s">
        <v>207</v>
      </c>
      <c r="C371" s="89"/>
      <c r="D371" s="89"/>
      <c r="E371" s="49">
        <f>+G371</f>
        <v>68.604606171818006</v>
      </c>
      <c r="F371" s="49"/>
      <c r="G371" s="49">
        <f>68604.606171818/1000</f>
        <v>68.604606171818006</v>
      </c>
      <c r="H371" s="49">
        <f>+J371</f>
        <v>141.58918</v>
      </c>
      <c r="I371" s="49"/>
      <c r="J371" s="49">
        <f>141589.18/1000</f>
        <v>141.58918</v>
      </c>
    </row>
    <row r="372" spans="1:10" x14ac:dyDescent="0.25">
      <c r="A372" s="99"/>
      <c r="B372" s="89" t="s">
        <v>167</v>
      </c>
      <c r="C372" s="89"/>
      <c r="D372" s="89"/>
      <c r="E372" s="49">
        <f>+G372</f>
        <v>124.91047985470099</v>
      </c>
      <c r="F372" s="49"/>
      <c r="G372" s="49">
        <f>124910.479854701/1000</f>
        <v>124.91047985470099</v>
      </c>
      <c r="H372" s="49">
        <f>+J372</f>
        <v>121.59783999999999</v>
      </c>
      <c r="I372" s="49"/>
      <c r="J372" s="49">
        <f>121597.84/1000</f>
        <v>121.59783999999999</v>
      </c>
    </row>
    <row r="373" spans="1:10" x14ac:dyDescent="0.25">
      <c r="A373" s="99"/>
      <c r="B373" s="89" t="s">
        <v>146</v>
      </c>
      <c r="C373" s="89"/>
      <c r="D373" s="89"/>
      <c r="E373" s="49">
        <f>+G373</f>
        <v>134.11738418940999</v>
      </c>
      <c r="F373" s="49"/>
      <c r="G373" s="49">
        <f>134117.38418941/1000</f>
        <v>134.11738418940999</v>
      </c>
      <c r="H373" s="49">
        <f>+J373</f>
        <v>135.70007999999999</v>
      </c>
      <c r="I373" s="49"/>
      <c r="J373" s="49">
        <f>135700.08/1000</f>
        <v>135.70007999999999</v>
      </c>
    </row>
    <row r="374" spans="1:10" x14ac:dyDescent="0.25">
      <c r="A374" s="99"/>
      <c r="B374" s="89" t="s">
        <v>222</v>
      </c>
      <c r="C374" s="89"/>
      <c r="D374" s="89"/>
      <c r="E374" s="49">
        <f>G374</f>
        <v>102.29997521741801</v>
      </c>
      <c r="F374" s="49"/>
      <c r="G374" s="49">
        <v>102.29997521741801</v>
      </c>
      <c r="H374" s="49">
        <f>J374</f>
        <v>46.096789999999999</v>
      </c>
      <c r="I374" s="49"/>
      <c r="J374" s="49">
        <f>46096.79/1000</f>
        <v>46.096789999999999</v>
      </c>
    </row>
    <row r="375" spans="1:10" x14ac:dyDescent="0.25">
      <c r="A375" s="99"/>
      <c r="B375" s="89" t="s">
        <v>223</v>
      </c>
      <c r="C375" s="89"/>
      <c r="D375" s="89"/>
      <c r="E375" s="49">
        <f>G375</f>
        <v>77.160483437372193</v>
      </c>
      <c r="F375" s="49"/>
      <c r="G375" s="49">
        <f>77160.4834373722/1000</f>
        <v>77.160483437372193</v>
      </c>
      <c r="H375" s="49">
        <f>+J375</f>
        <v>130.0334</v>
      </c>
      <c r="I375" s="49"/>
      <c r="J375" s="49">
        <f>130033.4/1000</f>
        <v>130.0334</v>
      </c>
    </row>
    <row r="376" spans="1:10" x14ac:dyDescent="0.25">
      <c r="A376" s="99"/>
      <c r="B376" s="89" t="s">
        <v>224</v>
      </c>
      <c r="C376" s="89"/>
      <c r="D376" s="89"/>
      <c r="E376" s="49">
        <f>G376</f>
        <v>128.71203667161998</v>
      </c>
      <c r="F376" s="49"/>
      <c r="G376" s="49">
        <f>128712.03667162/1000</f>
        <v>128.71203667161998</v>
      </c>
      <c r="H376" s="49">
        <f>J376</f>
        <v>122.6519</v>
      </c>
      <c r="I376" s="49"/>
      <c r="J376" s="49">
        <f>122651.9/1000</f>
        <v>122.6519</v>
      </c>
    </row>
    <row r="377" spans="1:10" x14ac:dyDescent="0.25">
      <c r="A377" s="99"/>
      <c r="B377" s="90" t="s">
        <v>359</v>
      </c>
      <c r="C377" s="91"/>
      <c r="D377" s="92"/>
      <c r="E377" s="49">
        <f>+G377</f>
        <v>104.69101731811699</v>
      </c>
      <c r="F377" s="49"/>
      <c r="G377" s="49">
        <f>104691.017318117/1000</f>
        <v>104.69101731811699</v>
      </c>
      <c r="H377" s="49">
        <f>+J377</f>
        <v>73.482699999999994</v>
      </c>
      <c r="I377" s="49"/>
      <c r="J377" s="49">
        <f>73482.7/1000</f>
        <v>73.482699999999994</v>
      </c>
    </row>
    <row r="378" spans="1:10" x14ac:dyDescent="0.25">
      <c r="A378" s="99"/>
      <c r="B378" s="90" t="s">
        <v>408</v>
      </c>
      <c r="C378" s="91"/>
      <c r="D378" s="92"/>
      <c r="E378" s="49">
        <f>+G378</f>
        <v>68.538148672449097</v>
      </c>
      <c r="F378" s="49"/>
      <c r="G378" s="49">
        <f>68538.1486724491/1000</f>
        <v>68.538148672449097</v>
      </c>
      <c r="H378" s="49">
        <f>+J378</f>
        <v>68.764479999999992</v>
      </c>
      <c r="I378" s="49"/>
      <c r="J378" s="49">
        <f>68764.48/1000</f>
        <v>68.764479999999992</v>
      </c>
    </row>
    <row r="379" spans="1:10" x14ac:dyDescent="0.25">
      <c r="A379" s="99"/>
      <c r="B379" s="90" t="s">
        <v>465</v>
      </c>
      <c r="C379" s="91"/>
      <c r="D379" s="92"/>
      <c r="E379" s="49">
        <f>+G379</f>
        <v>85.763354009433996</v>
      </c>
      <c r="F379" s="49"/>
      <c r="G379" s="49">
        <f>85763.354009434/1000</f>
        <v>85.763354009433996</v>
      </c>
      <c r="H379" s="49">
        <f>+J379</f>
        <v>53.635660000000001</v>
      </c>
      <c r="I379" s="49"/>
      <c r="J379" s="49">
        <f>53635.66/1000</f>
        <v>53.635660000000001</v>
      </c>
    </row>
    <row r="380" spans="1:10" x14ac:dyDescent="0.25">
      <c r="A380" s="99"/>
      <c r="B380" s="90" t="s">
        <v>259</v>
      </c>
      <c r="C380" s="91"/>
      <c r="D380" s="92"/>
      <c r="E380" s="49">
        <f t="shared" ref="E380:E383" si="61">G380</f>
        <v>367.74170634196287</v>
      </c>
      <c r="F380" s="49"/>
      <c r="G380" s="49">
        <f>J380</f>
        <v>367.74170634196287</v>
      </c>
      <c r="H380" s="49">
        <f>J380</f>
        <v>367.74170634196287</v>
      </c>
      <c r="I380" s="49"/>
      <c r="J380" s="49">
        <f>354265.07/1000+13476.6363419629/1000</f>
        <v>367.74170634196287</v>
      </c>
    </row>
    <row r="381" spans="1:10" x14ac:dyDescent="0.25">
      <c r="A381" s="99"/>
      <c r="B381" s="90" t="s">
        <v>360</v>
      </c>
      <c r="C381" s="91"/>
      <c r="D381" s="92"/>
      <c r="E381" s="49">
        <f t="shared" si="61"/>
        <v>344.73671469280293</v>
      </c>
      <c r="F381" s="49"/>
      <c r="G381" s="49">
        <f>J381</f>
        <v>344.73671469280293</v>
      </c>
      <c r="H381" s="49">
        <f>J381</f>
        <v>344.73671469280293</v>
      </c>
      <c r="I381" s="49"/>
      <c r="J381" s="49">
        <f>320915.65/1000+23821.0646928029/1000</f>
        <v>344.73671469280293</v>
      </c>
    </row>
    <row r="382" spans="1:10" x14ac:dyDescent="0.25">
      <c r="A382" s="99"/>
      <c r="B382" s="90" t="s">
        <v>409</v>
      </c>
      <c r="C382" s="91"/>
      <c r="D382" s="92"/>
      <c r="E382" s="49">
        <f t="shared" si="61"/>
        <v>311.29811476116447</v>
      </c>
      <c r="F382" s="49"/>
      <c r="G382" s="49">
        <f>J382</f>
        <v>311.29811476116447</v>
      </c>
      <c r="H382" s="49">
        <f>J382</f>
        <v>311.29811476116447</v>
      </c>
      <c r="I382" s="49"/>
      <c r="J382" s="49">
        <f>292378.35/1000+18919.7647611645/1000</f>
        <v>311.29811476116447</v>
      </c>
    </row>
    <row r="383" spans="1:10" x14ac:dyDescent="0.25">
      <c r="A383" s="94"/>
      <c r="B383" s="90" t="s">
        <v>452</v>
      </c>
      <c r="C383" s="91"/>
      <c r="D383" s="92"/>
      <c r="E383" s="49">
        <f t="shared" si="61"/>
        <v>253.64360438405859</v>
      </c>
      <c r="F383" s="49"/>
      <c r="G383" s="49">
        <f>J383</f>
        <v>253.64360438405859</v>
      </c>
      <c r="H383" s="49">
        <f>J383</f>
        <v>253.64360438405859</v>
      </c>
      <c r="I383" s="49"/>
      <c r="J383" s="49">
        <f>239321.91/1000+14321.6943840586/1000</f>
        <v>253.64360438405859</v>
      </c>
    </row>
    <row r="384" spans="1:10" ht="28.5" customHeight="1" x14ac:dyDescent="0.25">
      <c r="A384" s="93" t="s">
        <v>57</v>
      </c>
      <c r="B384" s="48" t="s">
        <v>77</v>
      </c>
      <c r="C384" s="48" t="s">
        <v>78</v>
      </c>
      <c r="D384" s="53">
        <f>1567539.58/1000</f>
        <v>1567.5395800000001</v>
      </c>
      <c r="E384" s="49">
        <f t="shared" ref="E384:E389" si="62">G384</f>
        <v>1567.5395800000001</v>
      </c>
      <c r="F384" s="6" t="s">
        <v>79</v>
      </c>
      <c r="G384" s="49">
        <f>1567539.58/1000</f>
        <v>1567.5395800000001</v>
      </c>
      <c r="H384" s="49"/>
      <c r="I384" s="49"/>
      <c r="J384" s="49"/>
    </row>
    <row r="385" spans="1:10" ht="42.75" x14ac:dyDescent="0.25">
      <c r="A385" s="99"/>
      <c r="B385" s="93" t="s">
        <v>225</v>
      </c>
      <c r="C385" s="93" t="s">
        <v>291</v>
      </c>
      <c r="D385" s="103">
        <f>24131197.59/1000</f>
        <v>24131.19759</v>
      </c>
      <c r="E385" s="49">
        <f t="shared" si="62"/>
        <v>2000</v>
      </c>
      <c r="F385" s="6" t="s">
        <v>245</v>
      </c>
      <c r="G385" s="49">
        <f>2000000/1000</f>
        <v>2000</v>
      </c>
      <c r="H385" s="49">
        <f>J385</f>
        <v>212.91119999999998</v>
      </c>
      <c r="I385" s="6" t="s">
        <v>294</v>
      </c>
      <c r="J385" s="49">
        <f>177426*1.2/1000</f>
        <v>212.91119999999998</v>
      </c>
    </row>
    <row r="386" spans="1:10" ht="28.5" x14ac:dyDescent="0.25">
      <c r="A386" s="99"/>
      <c r="B386" s="99"/>
      <c r="C386" s="99"/>
      <c r="D386" s="104"/>
      <c r="E386" s="49">
        <f t="shared" si="62"/>
        <v>212.91120000000001</v>
      </c>
      <c r="F386" s="6" t="s">
        <v>284</v>
      </c>
      <c r="G386" s="49">
        <f>212911.2/1000</f>
        <v>212.91120000000001</v>
      </c>
      <c r="H386" s="6">
        <f>J386</f>
        <v>4086.7487999999998</v>
      </c>
      <c r="I386" s="6" t="s">
        <v>336</v>
      </c>
      <c r="J386" s="6">
        <f>3405624*1.2/1000</f>
        <v>4086.7487999999998</v>
      </c>
    </row>
    <row r="387" spans="1:10" ht="28.5" x14ac:dyDescent="0.25">
      <c r="A387" s="99"/>
      <c r="B387" s="99"/>
      <c r="C387" s="99"/>
      <c r="D387" s="104"/>
      <c r="E387" s="49">
        <f t="shared" si="62"/>
        <v>2086.7487999999998</v>
      </c>
      <c r="F387" s="6" t="s">
        <v>392</v>
      </c>
      <c r="G387" s="49">
        <f>2086748.8/1000</f>
        <v>2086.7487999999998</v>
      </c>
      <c r="H387" s="6">
        <f>J387</f>
        <v>1549.1976</v>
      </c>
      <c r="I387" s="6" t="s">
        <v>367</v>
      </c>
      <c r="J387" s="6">
        <f>1290998*1.2/1000</f>
        <v>1549.1976</v>
      </c>
    </row>
    <row r="388" spans="1:10" ht="28.5" x14ac:dyDescent="0.25">
      <c r="A388" s="99"/>
      <c r="B388" s="99"/>
      <c r="C388" s="99"/>
      <c r="D388" s="104"/>
      <c r="E388" s="49">
        <f t="shared" si="62"/>
        <v>1549.1976000000002</v>
      </c>
      <c r="F388" s="6" t="s">
        <v>414</v>
      </c>
      <c r="G388" s="49">
        <f>1549197.6/1000</f>
        <v>1549.1976000000002</v>
      </c>
      <c r="H388" s="6">
        <f>J388</f>
        <v>3378.8291999999997</v>
      </c>
      <c r="I388" s="6" t="s">
        <v>479</v>
      </c>
      <c r="J388" s="6">
        <f>2815691*1.2/1000</f>
        <v>3378.8291999999997</v>
      </c>
    </row>
    <row r="389" spans="1:10" ht="28.5" x14ac:dyDescent="0.25">
      <c r="A389" s="99"/>
      <c r="B389" s="94"/>
      <c r="C389" s="94"/>
      <c r="D389" s="105"/>
      <c r="E389" s="49">
        <f t="shared" si="62"/>
        <v>3000</v>
      </c>
      <c r="F389" s="6" t="s">
        <v>437</v>
      </c>
      <c r="G389" s="49">
        <f>3000000/1000</f>
        <v>3000</v>
      </c>
      <c r="H389" s="6">
        <f>J389</f>
        <v>6625.4040000000005</v>
      </c>
      <c r="I389" s="6" t="s">
        <v>480</v>
      </c>
      <c r="J389" s="6">
        <f>5521170*1.2/1000</f>
        <v>6625.4040000000005</v>
      </c>
    </row>
    <row r="390" spans="1:10" ht="28.5" x14ac:dyDescent="0.25">
      <c r="A390" s="99"/>
      <c r="B390" s="48" t="s">
        <v>104</v>
      </c>
      <c r="C390" s="48" t="s">
        <v>105</v>
      </c>
      <c r="D390" s="5"/>
      <c r="E390" s="49">
        <f>+G390</f>
        <v>108.51792999999999</v>
      </c>
      <c r="F390" s="6" t="s">
        <v>248</v>
      </c>
      <c r="G390" s="49">
        <f>108517.93/1000</f>
        <v>108.51792999999999</v>
      </c>
      <c r="H390" s="7"/>
      <c r="I390" s="3"/>
      <c r="J390" s="7"/>
    </row>
    <row r="391" spans="1:10" ht="42.75" x14ac:dyDescent="0.25">
      <c r="A391" s="99"/>
      <c r="B391" s="48" t="s">
        <v>138</v>
      </c>
      <c r="C391" s="48" t="s">
        <v>285</v>
      </c>
      <c r="D391" s="5">
        <f>27935192.72/1000</f>
        <v>27935.192719999999</v>
      </c>
      <c r="E391" s="49">
        <f>+G391</f>
        <v>62.663830000000004</v>
      </c>
      <c r="F391" s="6" t="s">
        <v>286</v>
      </c>
      <c r="G391" s="49">
        <f>62663.83/1000</f>
        <v>62.663830000000004</v>
      </c>
      <c r="H391" s="7"/>
      <c r="I391" s="3"/>
      <c r="J391" s="7"/>
    </row>
    <row r="392" spans="1:10" ht="42.75" x14ac:dyDescent="0.25">
      <c r="A392" s="99"/>
      <c r="B392" s="48" t="s">
        <v>138</v>
      </c>
      <c r="C392" s="48" t="s">
        <v>287</v>
      </c>
      <c r="D392" s="5">
        <f>5951806.3/1000</f>
        <v>5951.8063000000002</v>
      </c>
      <c r="E392" s="49">
        <f>+G392</f>
        <v>771.82030000000009</v>
      </c>
      <c r="F392" s="6" t="s">
        <v>288</v>
      </c>
      <c r="G392" s="49">
        <f>771820.3/1000</f>
        <v>771.82030000000009</v>
      </c>
      <c r="H392" s="7"/>
      <c r="I392" s="3"/>
      <c r="J392" s="7"/>
    </row>
    <row r="393" spans="1:10" ht="42.75" x14ac:dyDescent="0.25">
      <c r="A393" s="99"/>
      <c r="B393" s="48" t="s">
        <v>349</v>
      </c>
      <c r="C393" s="48" t="s">
        <v>350</v>
      </c>
      <c r="D393" s="5">
        <v>1915.01</v>
      </c>
      <c r="E393" s="49">
        <f>+G393</f>
        <v>2298.0120000000002</v>
      </c>
      <c r="F393" s="6" t="s">
        <v>351</v>
      </c>
      <c r="G393" s="49">
        <f>2298012/1000</f>
        <v>2298.0120000000002</v>
      </c>
      <c r="H393" s="7"/>
      <c r="I393" s="3"/>
      <c r="J393" s="7"/>
    </row>
    <row r="394" spans="1:10" ht="42.75" x14ac:dyDescent="0.25">
      <c r="A394" s="99"/>
      <c r="B394" s="48" t="s">
        <v>430</v>
      </c>
      <c r="C394" s="48" t="s">
        <v>431</v>
      </c>
      <c r="D394" s="5">
        <v>744.52599999999995</v>
      </c>
      <c r="E394" s="49">
        <f>+G394</f>
        <v>744.52599999999995</v>
      </c>
      <c r="F394" s="6" t="s">
        <v>432</v>
      </c>
      <c r="G394" s="49">
        <f>744526/1000</f>
        <v>744.52599999999995</v>
      </c>
      <c r="H394" s="7">
        <f>J394</f>
        <v>744.52599599999996</v>
      </c>
      <c r="I394" s="3" t="s">
        <v>506</v>
      </c>
      <c r="J394" s="7">
        <f>620438.33*1.2/1000</f>
        <v>744.52599599999996</v>
      </c>
    </row>
    <row r="395" spans="1:10" x14ac:dyDescent="0.25">
      <c r="A395" s="99"/>
      <c r="B395" s="88" t="s">
        <v>314</v>
      </c>
      <c r="C395" s="88"/>
      <c r="D395" s="88"/>
      <c r="E395" s="23"/>
      <c r="F395" s="23"/>
      <c r="G395" s="23"/>
      <c r="H395" s="7">
        <f>J395</f>
        <v>55.236311999999998</v>
      </c>
      <c r="I395" s="3" t="s">
        <v>63</v>
      </c>
      <c r="J395" s="7">
        <f>46030.26*1.2/1000</f>
        <v>55.236311999999998</v>
      </c>
    </row>
    <row r="396" spans="1:10" x14ac:dyDescent="0.25">
      <c r="A396" s="99"/>
      <c r="B396" s="88" t="s">
        <v>313</v>
      </c>
      <c r="C396" s="88"/>
      <c r="D396" s="88"/>
      <c r="E396" s="23"/>
      <c r="F396" s="23"/>
      <c r="G396" s="23"/>
      <c r="H396" s="7">
        <f t="shared" ref="H396:H397" si="63">J396</f>
        <v>1240.4193479999999</v>
      </c>
      <c r="I396" s="3" t="s">
        <v>63</v>
      </c>
      <c r="J396" s="7">
        <f>1033682.79*1.2/1000</f>
        <v>1240.4193479999999</v>
      </c>
    </row>
    <row r="397" spans="1:10" x14ac:dyDescent="0.25">
      <c r="A397" s="99"/>
      <c r="B397" s="88" t="s">
        <v>454</v>
      </c>
      <c r="C397" s="88"/>
      <c r="D397" s="88"/>
      <c r="E397" s="23"/>
      <c r="F397" s="23"/>
      <c r="G397" s="23"/>
      <c r="H397" s="7">
        <f t="shared" si="63"/>
        <v>2091.06828</v>
      </c>
      <c r="I397" s="3" t="s">
        <v>63</v>
      </c>
      <c r="J397" s="7">
        <f>1742556.9*1.2/1000</f>
        <v>2091.06828</v>
      </c>
    </row>
    <row r="398" spans="1:10" x14ac:dyDescent="0.25">
      <c r="A398" s="99"/>
      <c r="B398" s="89" t="s">
        <v>22</v>
      </c>
      <c r="C398" s="89"/>
      <c r="D398" s="89"/>
      <c r="E398" s="49">
        <f t="shared" si="37"/>
        <v>99.889680999999996</v>
      </c>
      <c r="F398" s="49"/>
      <c r="G398" s="49">
        <f>99889.681/1000</f>
        <v>99.889680999999996</v>
      </c>
      <c r="H398" s="49">
        <f t="shared" si="36"/>
        <v>21.92041</v>
      </c>
      <c r="I398" s="49"/>
      <c r="J398" s="49">
        <v>21.92041</v>
      </c>
    </row>
    <row r="399" spans="1:10" x14ac:dyDescent="0.25">
      <c r="A399" s="99"/>
      <c r="B399" s="89" t="s">
        <v>27</v>
      </c>
      <c r="C399" s="89"/>
      <c r="D399" s="89"/>
      <c r="E399" s="49">
        <f t="shared" si="37"/>
        <v>29.069403771373398</v>
      </c>
      <c r="F399" s="49"/>
      <c r="G399" s="49">
        <v>29.069403771373398</v>
      </c>
      <c r="H399" s="49">
        <f t="shared" si="36"/>
        <v>29.953409999999998</v>
      </c>
      <c r="I399" s="49"/>
      <c r="J399" s="49">
        <v>29.953409999999998</v>
      </c>
    </row>
    <row r="400" spans="1:10" x14ac:dyDescent="0.25">
      <c r="A400" s="99"/>
      <c r="B400" s="89" t="s">
        <v>28</v>
      </c>
      <c r="C400" s="89"/>
      <c r="D400" s="89"/>
      <c r="E400" s="49">
        <f t="shared" si="37"/>
        <v>19.144577088132301</v>
      </c>
      <c r="F400" s="49"/>
      <c r="G400" s="49">
        <v>19.144577088132301</v>
      </c>
      <c r="H400" s="49">
        <f t="shared" si="36"/>
        <v>4.0282099999999996</v>
      </c>
      <c r="I400" s="49"/>
      <c r="J400" s="49">
        <v>4.0282099999999996</v>
      </c>
    </row>
    <row r="401" spans="1:10" x14ac:dyDescent="0.25">
      <c r="A401" s="99"/>
      <c r="B401" s="89" t="s">
        <v>207</v>
      </c>
      <c r="C401" s="89"/>
      <c r="D401" s="89"/>
      <c r="E401" s="49">
        <f>+G401</f>
        <v>62.855643748317995</v>
      </c>
      <c r="F401" s="49"/>
      <c r="G401" s="49">
        <f>62855.643748318/1000</f>
        <v>62.855643748317995</v>
      </c>
      <c r="H401" s="49">
        <f>+J401</f>
        <v>155.06949</v>
      </c>
      <c r="I401" s="49"/>
      <c r="J401" s="49">
        <f>155069.49/1000</f>
        <v>155.06949</v>
      </c>
    </row>
    <row r="402" spans="1:10" x14ac:dyDescent="0.25">
      <c r="A402" s="99"/>
      <c r="B402" s="89" t="s">
        <v>167</v>
      </c>
      <c r="C402" s="89"/>
      <c r="D402" s="89"/>
      <c r="E402" s="49">
        <f>+G402</f>
        <v>116.912105796869</v>
      </c>
      <c r="F402" s="49"/>
      <c r="G402" s="49">
        <f>116912.105796869/1000</f>
        <v>116.912105796869</v>
      </c>
      <c r="H402" s="49">
        <f>+J402</f>
        <v>69.239800000000002</v>
      </c>
      <c r="I402" s="49"/>
      <c r="J402" s="49">
        <f>69239.8/1000</f>
        <v>69.239800000000002</v>
      </c>
    </row>
    <row r="403" spans="1:10" x14ac:dyDescent="0.25">
      <c r="A403" s="99"/>
      <c r="B403" s="89" t="s">
        <v>146</v>
      </c>
      <c r="C403" s="89"/>
      <c r="D403" s="89"/>
      <c r="E403" s="49">
        <f>+G403</f>
        <v>61.075214338063404</v>
      </c>
      <c r="F403" s="49"/>
      <c r="G403" s="49">
        <f>61075.2143380634/1000</f>
        <v>61.075214338063404</v>
      </c>
      <c r="H403" s="49">
        <f>+J403</f>
        <v>37.00752</v>
      </c>
      <c r="I403" s="49"/>
      <c r="J403" s="49">
        <f>37007.52/1000</f>
        <v>37.00752</v>
      </c>
    </row>
    <row r="404" spans="1:10" x14ac:dyDescent="0.25">
      <c r="A404" s="99"/>
      <c r="B404" s="89" t="s">
        <v>222</v>
      </c>
      <c r="C404" s="89"/>
      <c r="D404" s="89"/>
      <c r="E404" s="49">
        <f>G404</f>
        <v>39.677358673000001</v>
      </c>
      <c r="F404" s="49"/>
      <c r="G404" s="49">
        <f>39677.358673/1000</f>
        <v>39.677358673000001</v>
      </c>
      <c r="H404" s="49">
        <f>J404</f>
        <v>43.906519999999993</v>
      </c>
      <c r="I404" s="49"/>
      <c r="J404" s="49">
        <f>43906.52/1000</f>
        <v>43.906519999999993</v>
      </c>
    </row>
    <row r="405" spans="1:10" x14ac:dyDescent="0.25">
      <c r="A405" s="99"/>
      <c r="B405" s="89" t="s">
        <v>223</v>
      </c>
      <c r="C405" s="89"/>
      <c r="D405" s="89"/>
      <c r="E405" s="49">
        <f>G405</f>
        <v>53.451785319404301</v>
      </c>
      <c r="F405" s="49"/>
      <c r="G405" s="49">
        <f>53451.7853194043/1000</f>
        <v>53.451785319404301</v>
      </c>
      <c r="H405" s="49">
        <f>J405</f>
        <v>68.743309999999994</v>
      </c>
      <c r="I405" s="49"/>
      <c r="J405" s="49">
        <f>68743.31/1000</f>
        <v>68.743309999999994</v>
      </c>
    </row>
    <row r="406" spans="1:10" x14ac:dyDescent="0.25">
      <c r="A406" s="99"/>
      <c r="B406" s="89" t="s">
        <v>224</v>
      </c>
      <c r="C406" s="89"/>
      <c r="D406" s="89"/>
      <c r="E406" s="49">
        <f>G406</f>
        <v>71.873454435364096</v>
      </c>
      <c r="F406" s="49"/>
      <c r="G406" s="49">
        <f>71873.4544353641/1000</f>
        <v>71.873454435364096</v>
      </c>
      <c r="H406" s="49">
        <f>J406</f>
        <v>105.09422000000001</v>
      </c>
      <c r="I406" s="49"/>
      <c r="J406" s="49">
        <f>105094.22/1000</f>
        <v>105.09422000000001</v>
      </c>
    </row>
    <row r="407" spans="1:10" x14ac:dyDescent="0.25">
      <c r="A407" s="99"/>
      <c r="B407" s="90" t="s">
        <v>359</v>
      </c>
      <c r="C407" s="91"/>
      <c r="D407" s="92"/>
      <c r="E407" s="49">
        <f>+G407</f>
        <v>99.788465841654798</v>
      </c>
      <c r="F407" s="49"/>
      <c r="G407" s="49">
        <f>99788.4658416548/1000</f>
        <v>99.788465841654798</v>
      </c>
      <c r="H407" s="49">
        <f>+J407</f>
        <v>60.106739999999995</v>
      </c>
      <c r="I407" s="49"/>
      <c r="J407" s="49">
        <f>60106.74/1000</f>
        <v>60.106739999999995</v>
      </c>
    </row>
    <row r="408" spans="1:10" x14ac:dyDescent="0.25">
      <c r="A408" s="99"/>
      <c r="B408" s="90" t="s">
        <v>408</v>
      </c>
      <c r="C408" s="91"/>
      <c r="D408" s="92"/>
      <c r="E408" s="49">
        <f>+G408</f>
        <v>36.242409158345204</v>
      </c>
      <c r="F408" s="49"/>
      <c r="G408" s="49">
        <f>36242.4091583452/1000</f>
        <v>36.242409158345204</v>
      </c>
      <c r="H408" s="49">
        <f>+J408</f>
        <v>0</v>
      </c>
      <c r="I408" s="49"/>
      <c r="J408" s="49"/>
    </row>
    <row r="409" spans="1:10" x14ac:dyDescent="0.25">
      <c r="A409" s="99"/>
      <c r="B409" s="90" t="s">
        <v>259</v>
      </c>
      <c r="C409" s="91"/>
      <c r="D409" s="92"/>
      <c r="E409" s="49">
        <f t="shared" ref="E409:E412" si="64">G409</f>
        <v>184.45514056052639</v>
      </c>
      <c r="F409" s="49"/>
      <c r="G409" s="49">
        <f>J409</f>
        <v>184.45514056052639</v>
      </c>
      <c r="H409" s="49">
        <f t="shared" ref="H409:H417" si="65">J409</f>
        <v>184.45514056052639</v>
      </c>
      <c r="I409" s="49"/>
      <c r="J409" s="49">
        <f>177695.41/1000+6759.73056052637/1000</f>
        <v>184.45514056052639</v>
      </c>
    </row>
    <row r="410" spans="1:10" x14ac:dyDescent="0.25">
      <c r="A410" s="99"/>
      <c r="B410" s="90" t="s">
        <v>360</v>
      </c>
      <c r="C410" s="91"/>
      <c r="D410" s="92"/>
      <c r="E410" s="49">
        <f t="shared" si="64"/>
        <v>172.91609030916328</v>
      </c>
      <c r="F410" s="49"/>
      <c r="G410" s="49">
        <f>J410</f>
        <v>172.91609030916328</v>
      </c>
      <c r="H410" s="49">
        <f>J410</f>
        <v>172.91609030916328</v>
      </c>
      <c r="I410" s="49"/>
      <c r="J410" s="49">
        <f>160967.71/1000+11948.3803091633/1000</f>
        <v>172.91609030916328</v>
      </c>
    </row>
    <row r="411" spans="1:10" x14ac:dyDescent="0.25">
      <c r="A411" s="99"/>
      <c r="B411" s="90" t="s">
        <v>409</v>
      </c>
      <c r="C411" s="91"/>
      <c r="D411" s="92"/>
      <c r="E411" s="49">
        <f t="shared" si="64"/>
        <v>156.14364173253389</v>
      </c>
      <c r="F411" s="49"/>
      <c r="G411" s="49">
        <f>J411</f>
        <v>156.14364173253389</v>
      </c>
      <c r="H411" s="49">
        <f>J411</f>
        <v>156.14364173253389</v>
      </c>
      <c r="I411" s="49"/>
      <c r="J411" s="49">
        <f>146653.7/1000+9489.94173253389/1000</f>
        <v>156.14364173253389</v>
      </c>
    </row>
    <row r="412" spans="1:10" x14ac:dyDescent="0.25">
      <c r="A412" s="94"/>
      <c r="B412" s="90" t="s">
        <v>452</v>
      </c>
      <c r="C412" s="91"/>
      <c r="D412" s="92"/>
      <c r="E412" s="49">
        <f t="shared" si="64"/>
        <v>122.08031454567364</v>
      </c>
      <c r="F412" s="49"/>
      <c r="G412" s="49">
        <f>J412</f>
        <v>122.08031454567364</v>
      </c>
      <c r="H412" s="49">
        <f>J412</f>
        <v>122.08031454567364</v>
      </c>
      <c r="I412" s="49"/>
      <c r="J412" s="49">
        <f>115187.19/1000+6893.12454567364/1000</f>
        <v>122.08031454567364</v>
      </c>
    </row>
    <row r="413" spans="1:10" ht="42.75" x14ac:dyDescent="0.25">
      <c r="A413" s="93" t="s">
        <v>21</v>
      </c>
      <c r="B413" s="93" t="s">
        <v>32</v>
      </c>
      <c r="C413" s="93" t="s">
        <v>33</v>
      </c>
      <c r="D413" s="123">
        <v>72267.362829999998</v>
      </c>
      <c r="E413" s="49">
        <f t="shared" ref="E413:E433" si="66">G413</f>
        <v>4857.8774000000003</v>
      </c>
      <c r="F413" s="6" t="s">
        <v>87</v>
      </c>
      <c r="G413" s="49">
        <f>4857877.4/1000</f>
        <v>4857.8774000000003</v>
      </c>
      <c r="H413" s="49">
        <f t="shared" si="65"/>
        <v>1681.4204159999999</v>
      </c>
      <c r="I413" s="6" t="s">
        <v>114</v>
      </c>
      <c r="J413" s="49">
        <f>1401183.68*1.2/1000</f>
        <v>1681.4204159999999</v>
      </c>
    </row>
    <row r="414" spans="1:10" ht="42.75" x14ac:dyDescent="0.25">
      <c r="A414" s="99"/>
      <c r="B414" s="99"/>
      <c r="C414" s="99"/>
      <c r="D414" s="124"/>
      <c r="E414" s="49">
        <f t="shared" si="66"/>
        <v>783.49063999999998</v>
      </c>
      <c r="F414" s="6" t="s">
        <v>89</v>
      </c>
      <c r="G414" s="49">
        <f>783490.64/1000</f>
        <v>783.49063999999998</v>
      </c>
      <c r="H414" s="49">
        <f t="shared" si="65"/>
        <v>2034.0894479999999</v>
      </c>
      <c r="I414" s="6" t="s">
        <v>117</v>
      </c>
      <c r="J414" s="49">
        <f>1695074.54*1.2/1000</f>
        <v>2034.0894479999999</v>
      </c>
    </row>
    <row r="415" spans="1:10" ht="42.75" x14ac:dyDescent="0.25">
      <c r="A415" s="99"/>
      <c r="B415" s="99"/>
      <c r="C415" s="99"/>
      <c r="D415" s="124"/>
      <c r="E415" s="49">
        <f t="shared" si="66"/>
        <v>7941.7589500000004</v>
      </c>
      <c r="F415" s="6" t="s">
        <v>93</v>
      </c>
      <c r="G415" s="49">
        <f>7941758.95/1000</f>
        <v>7941.7589500000004</v>
      </c>
      <c r="H415" s="49">
        <f t="shared" si="65"/>
        <v>973.79129999999998</v>
      </c>
      <c r="I415" s="6" t="s">
        <v>119</v>
      </c>
      <c r="J415" s="49">
        <f>811492.75*1.2/1000</f>
        <v>973.79129999999998</v>
      </c>
    </row>
    <row r="416" spans="1:10" ht="71.25" x14ac:dyDescent="0.25">
      <c r="A416" s="99"/>
      <c r="B416" s="99"/>
      <c r="C416" s="99"/>
      <c r="D416" s="124"/>
      <c r="E416" s="49">
        <f t="shared" si="66"/>
        <v>4082.6730699999998</v>
      </c>
      <c r="F416" s="6" t="s">
        <v>94</v>
      </c>
      <c r="G416" s="49">
        <f>4082673.07/1000</f>
        <v>4082.6730699999998</v>
      </c>
      <c r="H416" s="49">
        <f t="shared" si="65"/>
        <v>-231.78206399999999</v>
      </c>
      <c r="I416" s="6" t="s">
        <v>122</v>
      </c>
      <c r="J416" s="49">
        <f>-193151.72*1.2/1000</f>
        <v>-231.78206399999999</v>
      </c>
    </row>
    <row r="417" spans="1:10" ht="42.75" x14ac:dyDescent="0.25">
      <c r="A417" s="99"/>
      <c r="B417" s="99"/>
      <c r="C417" s="99"/>
      <c r="D417" s="124"/>
      <c r="E417" s="49">
        <f t="shared" si="66"/>
        <v>6688.2976900000003</v>
      </c>
      <c r="F417" s="6" t="s">
        <v>95</v>
      </c>
      <c r="G417" s="49">
        <f>6688297.69/1000</f>
        <v>6688.2976900000003</v>
      </c>
      <c r="H417" s="49">
        <f t="shared" si="65"/>
        <v>1016.0223119999999</v>
      </c>
      <c r="I417" s="6" t="s">
        <v>121</v>
      </c>
      <c r="J417" s="49">
        <f>846685.26*1.2/1000</f>
        <v>1016.0223119999999</v>
      </c>
    </row>
    <row r="418" spans="1:10" ht="42.75" x14ac:dyDescent="0.25">
      <c r="A418" s="99"/>
      <c r="B418" s="99"/>
      <c r="C418" s="99"/>
      <c r="D418" s="124"/>
      <c r="E418" s="49">
        <f t="shared" si="66"/>
        <v>1681.4204199999999</v>
      </c>
      <c r="F418" s="6" t="s">
        <v>106</v>
      </c>
      <c r="G418" s="49">
        <f>1681420.42/1000</f>
        <v>1681.4204199999999</v>
      </c>
      <c r="H418" s="49">
        <f t="shared" ref="H418:H423" si="67">+J418</f>
        <v>88.203984000000005</v>
      </c>
      <c r="I418" s="6" t="s">
        <v>174</v>
      </c>
      <c r="J418" s="49">
        <f>73503.32*1.2/1000</f>
        <v>88.203984000000005</v>
      </c>
    </row>
    <row r="419" spans="1:10" ht="42.75" x14ac:dyDescent="0.25">
      <c r="A419" s="99"/>
      <c r="B419" s="99"/>
      <c r="C419" s="99"/>
      <c r="D419" s="124"/>
      <c r="E419" s="49">
        <f>+G419</f>
        <v>11.756069999999999</v>
      </c>
      <c r="F419" s="6" t="s">
        <v>135</v>
      </c>
      <c r="G419" s="49">
        <f>11756.07/1000</f>
        <v>11.756069999999999</v>
      </c>
      <c r="H419" s="49">
        <f t="shared" si="67"/>
        <v>38.578319999999998</v>
      </c>
      <c r="I419" s="6" t="s">
        <v>175</v>
      </c>
      <c r="J419" s="49">
        <f>32148.6/1000*1.2</f>
        <v>38.578319999999998</v>
      </c>
    </row>
    <row r="420" spans="1:10" ht="42.75" x14ac:dyDescent="0.25">
      <c r="A420" s="99"/>
      <c r="B420" s="99"/>
      <c r="C420" s="99"/>
      <c r="D420" s="124"/>
      <c r="E420" s="49">
        <f>+G420</f>
        <v>784.24024999999995</v>
      </c>
      <c r="F420" s="6" t="s">
        <v>156</v>
      </c>
      <c r="G420" s="49">
        <f>784240.25/1000</f>
        <v>784.24024999999995</v>
      </c>
      <c r="H420" s="49">
        <f t="shared" si="67"/>
        <v>687.36409199999991</v>
      </c>
      <c r="I420" s="6" t="s">
        <v>176</v>
      </c>
      <c r="J420" s="49">
        <f>572803.41/1000*1.2</f>
        <v>687.36409199999991</v>
      </c>
    </row>
    <row r="421" spans="1:10" ht="42.75" x14ac:dyDescent="0.25">
      <c r="A421" s="99"/>
      <c r="B421" s="99"/>
      <c r="C421" s="99"/>
      <c r="D421" s="124"/>
      <c r="E421" s="49">
        <f>+G421</f>
        <v>2034.0894499999999</v>
      </c>
      <c r="F421" s="6" t="s">
        <v>199</v>
      </c>
      <c r="G421" s="49">
        <f>2034089.45/1000</f>
        <v>2034.0894499999999</v>
      </c>
      <c r="H421" s="49">
        <f t="shared" si="67"/>
        <v>2473.9982279999995</v>
      </c>
      <c r="I421" s="6" t="s">
        <v>172</v>
      </c>
      <c r="J421" s="49">
        <f>2061665.19*1.2/1000</f>
        <v>2473.9982279999995</v>
      </c>
    </row>
    <row r="422" spans="1:10" ht="42.75" x14ac:dyDescent="0.25">
      <c r="A422" s="99"/>
      <c r="B422" s="99"/>
      <c r="C422" s="99"/>
      <c r="D422" s="124"/>
      <c r="E422" s="49">
        <f>+G422</f>
        <v>973.79130000000009</v>
      </c>
      <c r="F422" s="6" t="s">
        <v>200</v>
      </c>
      <c r="G422" s="49">
        <f>973791.3/1000</f>
        <v>973.79130000000009</v>
      </c>
      <c r="H422" s="49">
        <f t="shared" si="67"/>
        <v>203.584464</v>
      </c>
      <c r="I422" s="6" t="s">
        <v>173</v>
      </c>
      <c r="J422" s="49">
        <f>169653.72*1.2/1000</f>
        <v>203.584464</v>
      </c>
    </row>
    <row r="423" spans="1:10" ht="42.75" x14ac:dyDescent="0.25">
      <c r="A423" s="99"/>
      <c r="B423" s="99"/>
      <c r="C423" s="99"/>
      <c r="D423" s="124"/>
      <c r="E423" s="49">
        <f>G423</f>
        <v>2473.9982300000001</v>
      </c>
      <c r="F423" s="6" t="s">
        <v>230</v>
      </c>
      <c r="G423" s="49">
        <f>2473998.23/1000</f>
        <v>2473.9982300000001</v>
      </c>
      <c r="H423" s="49">
        <f t="shared" si="67"/>
        <v>11.756063999999999</v>
      </c>
      <c r="I423" s="6" t="s">
        <v>212</v>
      </c>
      <c r="J423" s="49">
        <f>9796.72/1000*1.2</f>
        <v>11.756063999999999</v>
      </c>
    </row>
    <row r="424" spans="1:10" ht="28.5" x14ac:dyDescent="0.25">
      <c r="A424" s="99"/>
      <c r="B424" s="99"/>
      <c r="C424" s="99"/>
      <c r="D424" s="124"/>
      <c r="E424" s="49">
        <f>G424</f>
        <v>203.58445999999998</v>
      </c>
      <c r="F424" s="6" t="s">
        <v>231</v>
      </c>
      <c r="G424" s="49">
        <f>203584.46/1000</f>
        <v>203.58445999999998</v>
      </c>
      <c r="H424" s="49"/>
      <c r="I424" s="6"/>
      <c r="J424" s="49"/>
    </row>
    <row r="425" spans="1:10" ht="28.5" x14ac:dyDescent="0.25">
      <c r="A425" s="99"/>
      <c r="B425" s="99"/>
      <c r="C425" s="99"/>
      <c r="D425" s="124"/>
      <c r="E425" s="49">
        <f>G425</f>
        <v>687.36410000000001</v>
      </c>
      <c r="F425" s="6" t="s">
        <v>232</v>
      </c>
      <c r="G425" s="49">
        <f>687364.1/1000</f>
        <v>687.36410000000001</v>
      </c>
      <c r="H425" s="49"/>
      <c r="I425" s="6"/>
      <c r="J425" s="49"/>
    </row>
    <row r="426" spans="1:10" ht="28.5" x14ac:dyDescent="0.25">
      <c r="A426" s="99"/>
      <c r="B426" s="99"/>
      <c r="C426" s="99"/>
      <c r="D426" s="124"/>
      <c r="E426" s="49">
        <f>G426</f>
        <v>88.203999999999994</v>
      </c>
      <c r="F426" s="6" t="s">
        <v>233</v>
      </c>
      <c r="G426" s="49">
        <f>88204/1000</f>
        <v>88.203999999999994</v>
      </c>
      <c r="H426" s="49"/>
      <c r="I426" s="6"/>
      <c r="J426" s="49"/>
    </row>
    <row r="427" spans="1:10" ht="28.5" x14ac:dyDescent="0.25">
      <c r="A427" s="99"/>
      <c r="B427" s="94"/>
      <c r="C427" s="94"/>
      <c r="D427" s="125"/>
      <c r="E427" s="49">
        <f>G427</f>
        <v>38.578319999999998</v>
      </c>
      <c r="F427" s="6" t="s">
        <v>234</v>
      </c>
      <c r="G427" s="49">
        <f>38578.32/1000</f>
        <v>38.578319999999998</v>
      </c>
      <c r="H427" s="49"/>
      <c r="I427" s="6"/>
      <c r="J427" s="49"/>
    </row>
    <row r="428" spans="1:10" ht="42.75" x14ac:dyDescent="0.25">
      <c r="A428" s="99"/>
      <c r="B428" s="48" t="s">
        <v>90</v>
      </c>
      <c r="C428" s="48" t="s">
        <v>91</v>
      </c>
      <c r="D428" s="48"/>
      <c r="E428" s="49">
        <f t="shared" si="66"/>
        <v>193.55206000000001</v>
      </c>
      <c r="F428" s="6" t="s">
        <v>92</v>
      </c>
      <c r="G428" s="49">
        <f>193552.06/1000</f>
        <v>193.55206000000001</v>
      </c>
      <c r="H428" s="49"/>
      <c r="I428" s="49"/>
      <c r="J428" s="49"/>
    </row>
    <row r="429" spans="1:10" ht="28.5" x14ac:dyDescent="0.25">
      <c r="A429" s="99"/>
      <c r="B429" s="48" t="s">
        <v>104</v>
      </c>
      <c r="C429" s="48" t="s">
        <v>105</v>
      </c>
      <c r="D429" s="48"/>
      <c r="E429" s="49">
        <f t="shared" si="66"/>
        <v>26.342435999999999</v>
      </c>
      <c r="F429" s="6" t="s">
        <v>127</v>
      </c>
      <c r="G429" s="49">
        <f>21952.03*1.2/1000</f>
        <v>26.342435999999999</v>
      </c>
      <c r="H429" s="49"/>
      <c r="I429" s="49"/>
      <c r="J429" s="49"/>
    </row>
    <row r="430" spans="1:10" ht="57" x14ac:dyDescent="0.25">
      <c r="A430" s="99"/>
      <c r="B430" s="48" t="s">
        <v>196</v>
      </c>
      <c r="C430" s="48" t="s">
        <v>218</v>
      </c>
      <c r="D430" s="48">
        <v>7.3468999999999998</v>
      </c>
      <c r="E430" s="49">
        <f>+G430</f>
        <v>7.3468999999999998</v>
      </c>
      <c r="F430" s="6" t="s">
        <v>197</v>
      </c>
      <c r="G430" s="49">
        <f>7346.9/1000</f>
        <v>7.3468999999999998</v>
      </c>
      <c r="H430" s="49"/>
      <c r="I430" s="49"/>
      <c r="J430" s="49"/>
    </row>
    <row r="431" spans="1:10" x14ac:dyDescent="0.25">
      <c r="A431" s="99"/>
      <c r="B431" s="88" t="s">
        <v>80</v>
      </c>
      <c r="C431" s="88"/>
      <c r="D431" s="88"/>
      <c r="E431" s="49">
        <f t="shared" si="66"/>
        <v>321.33140999999995</v>
      </c>
      <c r="F431" s="47" t="s">
        <v>63</v>
      </c>
      <c r="G431" s="7">
        <f>321331.41/1000</f>
        <v>321.33140999999995</v>
      </c>
      <c r="H431" s="49">
        <f>J431</f>
        <v>321.33140999999995</v>
      </c>
      <c r="I431" s="47" t="s">
        <v>63</v>
      </c>
      <c r="J431" s="7">
        <f>321331.41/1000</f>
        <v>321.33140999999995</v>
      </c>
    </row>
    <row r="432" spans="1:10" x14ac:dyDescent="0.25">
      <c r="A432" s="99"/>
      <c r="B432" s="88" t="s">
        <v>98</v>
      </c>
      <c r="C432" s="88"/>
      <c r="D432" s="88"/>
      <c r="E432" s="49">
        <f t="shared" si="66"/>
        <v>320.22381000000001</v>
      </c>
      <c r="F432" s="47" t="s">
        <v>63</v>
      </c>
      <c r="G432" s="7">
        <v>320.22381000000001</v>
      </c>
      <c r="H432" s="49">
        <f>J432</f>
        <v>320.22381000000001</v>
      </c>
      <c r="I432" s="47" t="s">
        <v>63</v>
      </c>
      <c r="J432" s="7">
        <f>320223.81/1000</f>
        <v>320.22381000000001</v>
      </c>
    </row>
    <row r="433" spans="1:10" x14ac:dyDescent="0.25">
      <c r="A433" s="99"/>
      <c r="B433" s="88" t="s">
        <v>111</v>
      </c>
      <c r="C433" s="88"/>
      <c r="D433" s="88"/>
      <c r="E433" s="49">
        <f t="shared" si="66"/>
        <v>499.43596000000002</v>
      </c>
      <c r="F433" s="47" t="s">
        <v>63</v>
      </c>
      <c r="G433" s="7">
        <f>499435.96/1000</f>
        <v>499.43596000000002</v>
      </c>
      <c r="H433" s="49">
        <f>J433</f>
        <v>499.43596000000002</v>
      </c>
      <c r="I433" s="47" t="s">
        <v>63</v>
      </c>
      <c r="J433" s="7">
        <f>499435.96/1000</f>
        <v>499.43596000000002</v>
      </c>
    </row>
    <row r="434" spans="1:10" x14ac:dyDescent="0.25">
      <c r="A434" s="99"/>
      <c r="B434" s="88" t="s">
        <v>204</v>
      </c>
      <c r="C434" s="88"/>
      <c r="D434" s="88"/>
      <c r="E434" s="49">
        <f>+G434</f>
        <v>492.59264000000002</v>
      </c>
      <c r="F434" s="47" t="s">
        <v>63</v>
      </c>
      <c r="G434" s="7">
        <v>492.59264000000002</v>
      </c>
      <c r="H434" s="49">
        <f>+J434</f>
        <v>492.59264000000002</v>
      </c>
      <c r="I434" s="47" t="s">
        <v>63</v>
      </c>
      <c r="J434" s="7">
        <f>492592.64/1000</f>
        <v>492.59264000000002</v>
      </c>
    </row>
    <row r="435" spans="1:10" x14ac:dyDescent="0.25">
      <c r="A435" s="99"/>
      <c r="B435" s="88" t="s">
        <v>162</v>
      </c>
      <c r="C435" s="88"/>
      <c r="D435" s="88"/>
      <c r="E435" s="7">
        <f>529423.7/1000</f>
        <v>529.42369999999994</v>
      </c>
      <c r="F435" s="47" t="s">
        <v>163</v>
      </c>
      <c r="G435" s="7">
        <f>529423.7/1000</f>
        <v>529.42369999999994</v>
      </c>
      <c r="H435" s="7">
        <f>529423.7/1000</f>
        <v>529.42369999999994</v>
      </c>
      <c r="I435" s="47" t="s">
        <v>163</v>
      </c>
      <c r="J435" s="7">
        <f>529423.7/1000</f>
        <v>529.42369999999994</v>
      </c>
    </row>
    <row r="436" spans="1:10" x14ac:dyDescent="0.25">
      <c r="A436" s="99"/>
      <c r="B436" s="88" t="s">
        <v>97</v>
      </c>
      <c r="C436" s="88"/>
      <c r="D436" s="88"/>
      <c r="E436" s="23"/>
      <c r="F436" s="23"/>
      <c r="G436" s="23"/>
      <c r="H436" s="7">
        <f t="shared" ref="H436" si="68">J436</f>
        <v>270.31616400000001</v>
      </c>
      <c r="I436" s="3" t="s">
        <v>63</v>
      </c>
      <c r="J436" s="7">
        <f>225263.47*1.2/1000</f>
        <v>270.31616400000001</v>
      </c>
    </row>
    <row r="437" spans="1:10" x14ac:dyDescent="0.25">
      <c r="A437" s="99"/>
      <c r="B437" s="89" t="s">
        <v>22</v>
      </c>
      <c r="C437" s="89"/>
      <c r="D437" s="89"/>
      <c r="E437" s="49">
        <f>G437</f>
        <v>438.24040300000001</v>
      </c>
      <c r="F437" s="49" t="s">
        <v>63</v>
      </c>
      <c r="G437" s="49">
        <v>438.24040300000001</v>
      </c>
      <c r="H437" s="49">
        <f>J437</f>
        <v>514.88535999999999</v>
      </c>
      <c r="I437" s="3" t="s">
        <v>63</v>
      </c>
      <c r="J437" s="49">
        <f>514885.36/1000</f>
        <v>514.88535999999999</v>
      </c>
    </row>
    <row r="438" spans="1:10" x14ac:dyDescent="0.25">
      <c r="A438" s="99"/>
      <c r="B438" s="89" t="s">
        <v>27</v>
      </c>
      <c r="C438" s="89"/>
      <c r="D438" s="89"/>
      <c r="E438" s="49">
        <f>G438</f>
        <v>593.39853400000004</v>
      </c>
      <c r="F438" s="49" t="s">
        <v>63</v>
      </c>
      <c r="G438" s="49">
        <f>593398.534/1000</f>
        <v>593.39853400000004</v>
      </c>
      <c r="H438" s="49">
        <f>J438</f>
        <v>482.75650999999999</v>
      </c>
      <c r="I438" s="3" t="s">
        <v>63</v>
      </c>
      <c r="J438" s="49">
        <f>482756.51/1000</f>
        <v>482.75650999999999</v>
      </c>
    </row>
    <row r="439" spans="1:10" x14ac:dyDescent="0.25">
      <c r="A439" s="99"/>
      <c r="B439" s="89" t="s">
        <v>28</v>
      </c>
      <c r="C439" s="89"/>
      <c r="D439" s="89"/>
      <c r="E439" s="49">
        <f>G439</f>
        <v>428.28329500000001</v>
      </c>
      <c r="F439" s="49" t="s">
        <v>63</v>
      </c>
      <c r="G439" s="49">
        <f>428283.295/1000</f>
        <v>428.28329500000001</v>
      </c>
      <c r="H439" s="49">
        <f>J439</f>
        <v>430.47760999999997</v>
      </c>
      <c r="I439" s="3" t="s">
        <v>63</v>
      </c>
      <c r="J439" s="49">
        <f>430477.61/1000</f>
        <v>430.47760999999997</v>
      </c>
    </row>
    <row r="440" spans="1:10" x14ac:dyDescent="0.25">
      <c r="A440" s="99"/>
      <c r="B440" s="89" t="s">
        <v>207</v>
      </c>
      <c r="C440" s="89"/>
      <c r="D440" s="89"/>
      <c r="E440" s="49">
        <f t="shared" ref="E440:E445" si="69">+G440</f>
        <v>475.03572268981202</v>
      </c>
      <c r="F440" s="49"/>
      <c r="G440" s="49">
        <f>475035.722689812/1000</f>
        <v>475.03572268981202</v>
      </c>
      <c r="H440" s="49">
        <f>+J440</f>
        <v>478.39296000000002</v>
      </c>
      <c r="I440" s="3"/>
      <c r="J440" s="49">
        <f>478392.96/1000</f>
        <v>478.39296000000002</v>
      </c>
    </row>
    <row r="441" spans="1:10" x14ac:dyDescent="0.25">
      <c r="A441" s="99"/>
      <c r="B441" s="89" t="s">
        <v>167</v>
      </c>
      <c r="C441" s="89"/>
      <c r="D441" s="89"/>
      <c r="E441" s="49">
        <f t="shared" si="69"/>
        <v>405.18641796165298</v>
      </c>
      <c r="F441" s="49" t="s">
        <v>63</v>
      </c>
      <c r="G441" s="49">
        <f>405186.417961653/1000</f>
        <v>405.18641796165298</v>
      </c>
      <c r="H441" s="49">
        <f>+J441</f>
        <v>359.30009000000001</v>
      </c>
      <c r="I441" s="3" t="s">
        <v>63</v>
      </c>
      <c r="J441" s="49">
        <f>359300.09/1000</f>
        <v>359.30009000000001</v>
      </c>
    </row>
    <row r="442" spans="1:10" x14ac:dyDescent="0.25">
      <c r="A442" s="99"/>
      <c r="B442" s="89" t="s">
        <v>146</v>
      </c>
      <c r="C442" s="89"/>
      <c r="D442" s="89"/>
      <c r="E442" s="49">
        <f t="shared" si="69"/>
        <v>-2407.6303495215802</v>
      </c>
      <c r="F442" s="49"/>
      <c r="G442" s="49">
        <f>-2407630.34952158/1000</f>
        <v>-2407.6303495215802</v>
      </c>
      <c r="H442" s="49">
        <f>+J442</f>
        <v>-1320.21884</v>
      </c>
      <c r="I442" s="3" t="s">
        <v>63</v>
      </c>
      <c r="J442" s="49">
        <f>-1320218.84/1000</f>
        <v>-1320.21884</v>
      </c>
    </row>
    <row r="443" spans="1:10" x14ac:dyDescent="0.25">
      <c r="A443" s="99"/>
      <c r="B443" s="89"/>
      <c r="C443" s="89"/>
      <c r="D443" s="89"/>
      <c r="E443" s="49">
        <f t="shared" si="69"/>
        <v>2168.79424611276</v>
      </c>
      <c r="F443" s="49"/>
      <c r="G443" s="49">
        <f>2168794.24611276/1000</f>
        <v>2168.79424611276</v>
      </c>
      <c r="H443" s="49"/>
      <c r="I443" s="3"/>
      <c r="J443" s="49"/>
    </row>
    <row r="444" spans="1:10" x14ac:dyDescent="0.25">
      <c r="A444" s="99"/>
      <c r="B444" s="89" t="s">
        <v>222</v>
      </c>
      <c r="C444" s="89"/>
      <c r="D444" s="89"/>
      <c r="E444" s="49">
        <f t="shared" si="69"/>
        <v>-831.42575576544903</v>
      </c>
      <c r="F444" s="49" t="s">
        <v>63</v>
      </c>
      <c r="G444" s="49">
        <f>-831425.755765449/1000</f>
        <v>-831.42575576544903</v>
      </c>
      <c r="H444" s="49">
        <f>+J444</f>
        <v>0</v>
      </c>
      <c r="I444" s="3" t="s">
        <v>63</v>
      </c>
      <c r="J444" s="49"/>
    </row>
    <row r="445" spans="1:10" x14ac:dyDescent="0.25">
      <c r="A445" s="99"/>
      <c r="B445" s="89" t="s">
        <v>223</v>
      </c>
      <c r="C445" s="89"/>
      <c r="D445" s="89"/>
      <c r="E445" s="49">
        <f t="shared" si="69"/>
        <v>5.1293533281198895</v>
      </c>
      <c r="F445" s="49"/>
      <c r="G445" s="49">
        <f>5129.35332811989/1000</f>
        <v>5.1293533281198895</v>
      </c>
      <c r="H445" s="49">
        <f>+J445</f>
        <v>0</v>
      </c>
      <c r="I445" s="3" t="s">
        <v>63</v>
      </c>
      <c r="J445" s="49"/>
    </row>
    <row r="446" spans="1:10" ht="42.75" x14ac:dyDescent="0.25">
      <c r="A446" s="93" t="s">
        <v>31</v>
      </c>
      <c r="B446" s="48" t="s">
        <v>36</v>
      </c>
      <c r="C446" s="48" t="s">
        <v>34</v>
      </c>
      <c r="D446" s="53">
        <f>1147073.44/1000</f>
        <v>1147.0734399999999</v>
      </c>
      <c r="E446" s="49">
        <f>G446</f>
        <v>710.26214000000004</v>
      </c>
      <c r="F446" s="6" t="s">
        <v>72</v>
      </c>
      <c r="G446" s="49">
        <f>710262.14/1000</f>
        <v>710.26214000000004</v>
      </c>
      <c r="H446" s="49"/>
      <c r="I446" s="49"/>
      <c r="J446" s="49"/>
    </row>
    <row r="447" spans="1:10" ht="42.75" x14ac:dyDescent="0.25">
      <c r="A447" s="99"/>
      <c r="B447" s="41" t="s">
        <v>138</v>
      </c>
      <c r="C447" s="41" t="s">
        <v>141</v>
      </c>
      <c r="D447" s="44">
        <f>5951806.3/1000</f>
        <v>5951.8063000000002</v>
      </c>
      <c r="E447" s="49">
        <f>+G447</f>
        <v>445.308852</v>
      </c>
      <c r="F447" s="6" t="s">
        <v>142</v>
      </c>
      <c r="G447" s="49">
        <f>445308.852/1000</f>
        <v>445.308852</v>
      </c>
      <c r="H447" s="49"/>
      <c r="I447" s="49"/>
      <c r="J447" s="49"/>
    </row>
    <row r="448" spans="1:10" ht="28.5" x14ac:dyDescent="0.25">
      <c r="A448" s="99"/>
      <c r="B448" s="48" t="s">
        <v>104</v>
      </c>
      <c r="C448" s="48" t="s">
        <v>105</v>
      </c>
      <c r="D448" s="48"/>
      <c r="E448" s="49">
        <f t="shared" ref="E448:E454" si="70">G448</f>
        <v>62.610432000000003</v>
      </c>
      <c r="F448" s="6" t="s">
        <v>246</v>
      </c>
      <c r="G448" s="49">
        <f>62610.432/1000</f>
        <v>62.610432000000003</v>
      </c>
      <c r="H448" s="49"/>
      <c r="I448" s="49"/>
      <c r="J448" s="49"/>
    </row>
    <row r="449" spans="1:10" ht="42.75" x14ac:dyDescent="0.25">
      <c r="A449" s="99"/>
      <c r="B449" s="48" t="s">
        <v>481</v>
      </c>
      <c r="C449" s="48" t="s">
        <v>482</v>
      </c>
      <c r="D449" s="48"/>
      <c r="E449" s="49"/>
      <c r="F449" s="6"/>
      <c r="G449" s="49"/>
      <c r="H449" s="49">
        <f>+J449</f>
        <v>2099.6856000000002</v>
      </c>
      <c r="I449" s="6" t="s">
        <v>483</v>
      </c>
      <c r="J449" s="49">
        <f>1749738*1.2/1000</f>
        <v>2099.6856000000002</v>
      </c>
    </row>
    <row r="450" spans="1:10" x14ac:dyDescent="0.25">
      <c r="A450" s="99"/>
      <c r="B450" s="88" t="s">
        <v>454</v>
      </c>
      <c r="C450" s="88"/>
      <c r="D450" s="88"/>
      <c r="E450" s="23"/>
      <c r="F450" s="23"/>
      <c r="G450" s="23"/>
      <c r="H450" s="7">
        <f t="shared" ref="H450" si="71">J450</f>
        <v>478.61624399999994</v>
      </c>
      <c r="I450" s="3" t="s">
        <v>63</v>
      </c>
      <c r="J450" s="7">
        <f>398846.87*1.2/1000</f>
        <v>478.61624399999994</v>
      </c>
    </row>
    <row r="451" spans="1:10" x14ac:dyDescent="0.25">
      <c r="A451" s="99"/>
      <c r="B451" s="90" t="s">
        <v>259</v>
      </c>
      <c r="C451" s="91"/>
      <c r="D451" s="92"/>
      <c r="E451" s="49">
        <f t="shared" si="70"/>
        <v>20.514567698824372</v>
      </c>
      <c r="F451" s="49"/>
      <c r="G451" s="49">
        <f>J451</f>
        <v>20.514567698824372</v>
      </c>
      <c r="H451" s="49">
        <f>J451</f>
        <v>20.514567698824372</v>
      </c>
      <c r="I451" s="49"/>
      <c r="J451" s="49">
        <f>19762.77/1000+751.797698824372/1000</f>
        <v>20.514567698824372</v>
      </c>
    </row>
    <row r="452" spans="1:10" x14ac:dyDescent="0.25">
      <c r="A452" s="99"/>
      <c r="B452" s="90" t="s">
        <v>360</v>
      </c>
      <c r="C452" s="91"/>
      <c r="D452" s="92"/>
      <c r="E452" s="49">
        <f t="shared" si="70"/>
        <v>29.797173764691909</v>
      </c>
      <c r="F452" s="49"/>
      <c r="G452" s="49">
        <f>J452</f>
        <v>29.797173764691909</v>
      </c>
      <c r="H452" s="49">
        <f>J452</f>
        <v>29.797173764691909</v>
      </c>
      <c r="I452" s="49"/>
      <c r="J452" s="49">
        <f>27738.21/1000+2058.96376469191/1000</f>
        <v>29.797173764691909</v>
      </c>
    </row>
    <row r="453" spans="1:10" x14ac:dyDescent="0.25">
      <c r="A453" s="99"/>
      <c r="B453" s="90" t="s">
        <v>409</v>
      </c>
      <c r="C453" s="91"/>
      <c r="D453" s="92"/>
      <c r="E453" s="49">
        <f t="shared" si="70"/>
        <v>33.093163092515056</v>
      </c>
      <c r="F453" s="49"/>
      <c r="G453" s="49">
        <f>J453</f>
        <v>33.093163092515056</v>
      </c>
      <c r="H453" s="49">
        <f>J453</f>
        <v>33.093163092515056</v>
      </c>
      <c r="I453" s="49"/>
      <c r="J453" s="49">
        <f>31081.86/1000+2011.30309251506/1000</f>
        <v>33.093163092515056</v>
      </c>
    </row>
    <row r="454" spans="1:10" x14ac:dyDescent="0.25">
      <c r="A454" s="94"/>
      <c r="B454" s="90" t="s">
        <v>452</v>
      </c>
      <c r="C454" s="91"/>
      <c r="D454" s="92"/>
      <c r="E454" s="49">
        <f t="shared" si="70"/>
        <v>-68.249637268546948</v>
      </c>
      <c r="F454" s="49"/>
      <c r="G454" s="49">
        <f>J454</f>
        <v>-68.249637268546948</v>
      </c>
      <c r="H454" s="49">
        <f>J454</f>
        <v>-68.249637268546948</v>
      </c>
      <c r="I454" s="49"/>
      <c r="J454" s="49">
        <f>-64396/1000-3853.63726854695/1000</f>
        <v>-68.249637268546948</v>
      </c>
    </row>
    <row r="455" spans="1:10" x14ac:dyDescent="0.25">
      <c r="A455" s="93" t="s">
        <v>58</v>
      </c>
      <c r="B455" s="89" t="s">
        <v>22</v>
      </c>
      <c r="C455" s="89"/>
      <c r="D455" s="89"/>
      <c r="E455" s="49">
        <f t="shared" ref="E455:E520" si="72">G455</f>
        <v>2.46909870609981</v>
      </c>
      <c r="F455" s="49"/>
      <c r="G455" s="49">
        <v>2.46909870609981</v>
      </c>
      <c r="H455" s="49">
        <f t="shared" ref="H455:H521" si="73">J455</f>
        <v>10.86992</v>
      </c>
      <c r="I455" s="49"/>
      <c r="J455" s="49">
        <v>10.86992</v>
      </c>
    </row>
    <row r="456" spans="1:10" x14ac:dyDescent="0.25">
      <c r="A456" s="99"/>
      <c r="B456" s="89" t="s">
        <v>27</v>
      </c>
      <c r="C456" s="89"/>
      <c r="D456" s="89"/>
      <c r="E456" s="49">
        <f t="shared" si="72"/>
        <v>40.434703336733804</v>
      </c>
      <c r="F456" s="49"/>
      <c r="G456" s="49">
        <v>40.434703336733804</v>
      </c>
      <c r="H456" s="49">
        <f t="shared" si="73"/>
        <v>79.115089999999995</v>
      </c>
      <c r="I456" s="49"/>
      <c r="J456" s="49">
        <v>79.115089999999995</v>
      </c>
    </row>
    <row r="457" spans="1:10" x14ac:dyDescent="0.25">
      <c r="A457" s="99"/>
      <c r="B457" s="89" t="s">
        <v>28</v>
      </c>
      <c r="C457" s="89"/>
      <c r="D457" s="89"/>
      <c r="E457" s="49">
        <f t="shared" si="72"/>
        <v>67.854775431163404</v>
      </c>
      <c r="F457" s="49"/>
      <c r="G457" s="49">
        <v>67.854775431163404</v>
      </c>
      <c r="H457" s="49">
        <f t="shared" si="73"/>
        <v>63.424190000000003</v>
      </c>
      <c r="I457" s="49"/>
      <c r="J457" s="49">
        <v>63.424190000000003</v>
      </c>
    </row>
    <row r="458" spans="1:10" x14ac:dyDescent="0.25">
      <c r="A458" s="99"/>
      <c r="B458" s="89" t="s">
        <v>207</v>
      </c>
      <c r="C458" s="89"/>
      <c r="D458" s="89"/>
      <c r="E458" s="49">
        <f>+G458</f>
        <v>55.335806302826995</v>
      </c>
      <c r="F458" s="49"/>
      <c r="G458" s="49">
        <f>55335.806302827/1000</f>
        <v>55.335806302826995</v>
      </c>
      <c r="H458" s="49">
        <f>+J458</f>
        <v>32.704569999999997</v>
      </c>
      <c r="I458" s="49"/>
      <c r="J458" s="49">
        <f>32704.57/1000</f>
        <v>32.704569999999997</v>
      </c>
    </row>
    <row r="459" spans="1:10" x14ac:dyDescent="0.25">
      <c r="A459" s="99"/>
      <c r="B459" s="89" t="s">
        <v>167</v>
      </c>
      <c r="C459" s="89"/>
      <c r="D459" s="89"/>
      <c r="E459" s="49">
        <f>+G459</f>
        <v>20.019386223175999</v>
      </c>
      <c r="F459" s="49"/>
      <c r="G459" s="49">
        <f>20019.386223176/1000</f>
        <v>20.019386223175999</v>
      </c>
      <c r="H459" s="49"/>
      <c r="I459" s="49"/>
      <c r="J459" s="49"/>
    </row>
    <row r="460" spans="1:10" x14ac:dyDescent="0.25">
      <c r="A460" s="99"/>
      <c r="B460" s="89" t="s">
        <v>222</v>
      </c>
      <c r="C460" s="89"/>
      <c r="D460" s="89"/>
      <c r="E460" s="49">
        <f>G460</f>
        <v>234.82683444141702</v>
      </c>
      <c r="F460" s="49"/>
      <c r="G460" s="49">
        <v>234.82683444141702</v>
      </c>
      <c r="H460" s="49">
        <f>J460</f>
        <v>625.85305000000005</v>
      </c>
      <c r="I460" s="49"/>
      <c r="J460" s="49">
        <f>625853.05/1000</f>
        <v>625.85305000000005</v>
      </c>
    </row>
    <row r="461" spans="1:10" x14ac:dyDescent="0.25">
      <c r="A461" s="99"/>
      <c r="B461" s="89" t="s">
        <v>223</v>
      </c>
      <c r="C461" s="89"/>
      <c r="D461" s="89"/>
      <c r="E461" s="49">
        <f>G461</f>
        <v>391.02621555858298</v>
      </c>
      <c r="F461" s="49"/>
      <c r="G461" s="49">
        <f>391026.215558583/1000</f>
        <v>391.02621555858298</v>
      </c>
      <c r="H461" s="49">
        <f>J461</f>
        <v>0</v>
      </c>
      <c r="I461" s="49"/>
      <c r="J461" s="49"/>
    </row>
    <row r="462" spans="1:10" x14ac:dyDescent="0.25">
      <c r="A462" s="99"/>
      <c r="B462" s="89" t="s">
        <v>224</v>
      </c>
      <c r="C462" s="89"/>
      <c r="D462" s="89"/>
      <c r="E462" s="49">
        <f>G462</f>
        <v>45.514519999999997</v>
      </c>
      <c r="F462" s="49"/>
      <c r="G462" s="49">
        <f>45514.52/1000</f>
        <v>45.514519999999997</v>
      </c>
      <c r="H462" s="49">
        <f>J462</f>
        <v>113.72256</v>
      </c>
      <c r="I462" s="49"/>
      <c r="J462" s="49">
        <f>113722.56/1000</f>
        <v>113.72256</v>
      </c>
    </row>
    <row r="463" spans="1:10" x14ac:dyDescent="0.25">
      <c r="A463" s="99"/>
      <c r="B463" s="90" t="s">
        <v>359</v>
      </c>
      <c r="C463" s="91"/>
      <c r="D463" s="92"/>
      <c r="E463" s="49">
        <f>+G463</f>
        <v>150.51130934379501</v>
      </c>
      <c r="F463" s="49"/>
      <c r="G463" s="49">
        <f>150511.309343795/1000</f>
        <v>150.51130934379501</v>
      </c>
      <c r="H463" s="49">
        <f t="shared" ref="H463:H468" si="74">+J463</f>
        <v>208.32414</v>
      </c>
      <c r="I463" s="49"/>
      <c r="J463" s="49">
        <f>208324.14/1000</f>
        <v>208.32414</v>
      </c>
    </row>
    <row r="464" spans="1:10" x14ac:dyDescent="0.25">
      <c r="A464" s="99"/>
      <c r="B464" s="90" t="s">
        <v>408</v>
      </c>
      <c r="C464" s="91"/>
      <c r="D464" s="92"/>
      <c r="E464" s="49">
        <f>+G464</f>
        <v>193.365704304004</v>
      </c>
      <c r="F464" s="49"/>
      <c r="G464" s="49">
        <f>193365.704304004/1000</f>
        <v>193.365704304004</v>
      </c>
      <c r="H464" s="49">
        <f t="shared" si="74"/>
        <v>190.20567000000003</v>
      </c>
      <c r="I464" s="49"/>
      <c r="J464" s="49">
        <f>190205.67/1000</f>
        <v>190.20567000000003</v>
      </c>
    </row>
    <row r="465" spans="1:10" ht="28.5" x14ac:dyDescent="0.25">
      <c r="A465" s="99"/>
      <c r="B465" s="93" t="s">
        <v>205</v>
      </c>
      <c r="C465" s="93" t="s">
        <v>206</v>
      </c>
      <c r="D465" s="93"/>
      <c r="E465" s="49"/>
      <c r="F465" s="49"/>
      <c r="G465" s="49"/>
      <c r="H465" s="49">
        <f t="shared" si="74"/>
        <v>1215.336</v>
      </c>
      <c r="I465" s="6" t="s">
        <v>213</v>
      </c>
      <c r="J465" s="49">
        <f>1012780/1000*1.2</f>
        <v>1215.336</v>
      </c>
    </row>
    <row r="466" spans="1:10" ht="28.5" x14ac:dyDescent="0.25">
      <c r="A466" s="99"/>
      <c r="B466" s="99"/>
      <c r="C466" s="99"/>
      <c r="D466" s="99"/>
      <c r="E466" s="49"/>
      <c r="F466" s="49"/>
      <c r="G466" s="49"/>
      <c r="H466" s="49">
        <f t="shared" si="74"/>
        <v>1163.1911399999999</v>
      </c>
      <c r="I466" s="6" t="s">
        <v>484</v>
      </c>
      <c r="J466" s="49">
        <f>969325.95*1.2/1000</f>
        <v>1163.1911399999999</v>
      </c>
    </row>
    <row r="467" spans="1:10" ht="28.5" x14ac:dyDescent="0.25">
      <c r="A467" s="99"/>
      <c r="B467" s="94"/>
      <c r="C467" s="94"/>
      <c r="D467" s="94"/>
      <c r="E467" s="49"/>
      <c r="F467" s="49"/>
      <c r="G467" s="49"/>
      <c r="H467" s="49">
        <f t="shared" si="74"/>
        <v>365.762472</v>
      </c>
      <c r="I467" s="6" t="s">
        <v>485</v>
      </c>
      <c r="J467" s="49">
        <f>304802.06*1.2/1000</f>
        <v>365.762472</v>
      </c>
    </row>
    <row r="468" spans="1:10" x14ac:dyDescent="0.25">
      <c r="A468" s="99"/>
      <c r="B468" s="90" t="s">
        <v>465</v>
      </c>
      <c r="C468" s="91"/>
      <c r="D468" s="92"/>
      <c r="E468" s="49">
        <f>+G468</f>
        <v>369.617266352201</v>
      </c>
      <c r="F468" s="49"/>
      <c r="G468" s="49">
        <f>369617.266352201/1000</f>
        <v>369.617266352201</v>
      </c>
      <c r="H468" s="49">
        <f t="shared" si="74"/>
        <v>310.96136999999999</v>
      </c>
      <c r="I468" s="49"/>
      <c r="J468" s="49">
        <f>310961.37/1000</f>
        <v>310.96136999999999</v>
      </c>
    </row>
    <row r="469" spans="1:10" x14ac:dyDescent="0.25">
      <c r="A469" s="99"/>
      <c r="B469" s="90" t="s">
        <v>259</v>
      </c>
      <c r="C469" s="91"/>
      <c r="D469" s="92"/>
      <c r="E469" s="49">
        <f t="shared" ref="E469:E470" si="75">G469</f>
        <v>45.84354930297647</v>
      </c>
      <c r="F469" s="49"/>
      <c r="G469" s="49">
        <f>J469</f>
        <v>45.84354930297647</v>
      </c>
      <c r="H469" s="49">
        <f>J469</f>
        <v>45.84354930297647</v>
      </c>
      <c r="I469" s="49"/>
      <c r="J469" s="49">
        <f>44163.52/1000+1680.02930297647/1000</f>
        <v>45.84354930297647</v>
      </c>
    </row>
    <row r="470" spans="1:10" x14ac:dyDescent="0.25">
      <c r="A470" s="99"/>
      <c r="B470" s="90" t="s">
        <v>360</v>
      </c>
      <c r="C470" s="91"/>
      <c r="D470" s="92"/>
      <c r="E470" s="49">
        <f t="shared" si="75"/>
        <v>42.975700714623578</v>
      </c>
      <c r="F470" s="49"/>
      <c r="G470" s="49">
        <f>J470</f>
        <v>42.975700714623578</v>
      </c>
      <c r="H470" s="49">
        <f>J470</f>
        <v>42.975700714623578</v>
      </c>
      <c r="I470" s="49"/>
      <c r="J470" s="49">
        <f>40006.11/1000+2969.59071462358/1000</f>
        <v>42.975700714623578</v>
      </c>
    </row>
    <row r="471" spans="1:10" x14ac:dyDescent="0.25">
      <c r="A471" s="99"/>
      <c r="B471" s="90" t="s">
        <v>409</v>
      </c>
      <c r="C471" s="91"/>
      <c r="D471" s="92"/>
      <c r="E471" s="49">
        <f t="shared" ref="E471:E472" si="76">G471</f>
        <v>38.807152194204328</v>
      </c>
      <c r="F471" s="49"/>
      <c r="G471" s="49">
        <f>J471</f>
        <v>38.807152194204328</v>
      </c>
      <c r="H471" s="49">
        <f>J471</f>
        <v>38.807152194204328</v>
      </c>
      <c r="I471" s="49"/>
      <c r="J471" s="49">
        <f>36448.57/1000+2358.58219420433/1000</f>
        <v>38.807152194204328</v>
      </c>
    </row>
    <row r="472" spans="1:10" x14ac:dyDescent="0.25">
      <c r="A472" s="94"/>
      <c r="B472" s="90" t="s">
        <v>452</v>
      </c>
      <c r="C472" s="91"/>
      <c r="D472" s="92"/>
      <c r="E472" s="49">
        <f t="shared" si="76"/>
        <v>29.995893633117618</v>
      </c>
      <c r="F472" s="49"/>
      <c r="G472" s="49">
        <f>J472</f>
        <v>29.995893633117618</v>
      </c>
      <c r="H472" s="49">
        <f>J472</f>
        <v>29.995893633117618</v>
      </c>
      <c r="I472" s="49"/>
      <c r="J472" s="49">
        <f>28302.21/1000+1693.68363311762/1000</f>
        <v>29.995893633117618</v>
      </c>
    </row>
    <row r="473" spans="1:10" x14ac:dyDescent="0.25">
      <c r="A473" s="93" t="s">
        <v>59</v>
      </c>
      <c r="B473" s="89" t="s">
        <v>22</v>
      </c>
      <c r="C473" s="89"/>
      <c r="D473" s="89"/>
      <c r="E473" s="49">
        <f t="shared" si="72"/>
        <v>1.7140406654343798</v>
      </c>
      <c r="F473" s="49"/>
      <c r="G473" s="49">
        <v>1.7140406654343798</v>
      </c>
      <c r="H473" s="49">
        <f t="shared" si="73"/>
        <v>7.5458400000000001</v>
      </c>
      <c r="I473" s="49"/>
      <c r="J473" s="49">
        <v>7.5458400000000001</v>
      </c>
    </row>
    <row r="474" spans="1:10" x14ac:dyDescent="0.25">
      <c r="A474" s="99"/>
      <c r="B474" s="89" t="s">
        <v>27</v>
      </c>
      <c r="C474" s="89"/>
      <c r="D474" s="89"/>
      <c r="E474" s="49">
        <f t="shared" si="72"/>
        <v>7.3192826953563896</v>
      </c>
      <c r="F474" s="49"/>
      <c r="G474" s="49">
        <v>7.3192826953563896</v>
      </c>
      <c r="H474" s="49">
        <f t="shared" si="73"/>
        <v>3.6736800000000001</v>
      </c>
      <c r="I474" s="49"/>
      <c r="J474" s="49">
        <v>3.6736800000000001</v>
      </c>
    </row>
    <row r="475" spans="1:10" x14ac:dyDescent="0.25">
      <c r="A475" s="99"/>
      <c r="B475" s="89" t="s">
        <v>28</v>
      </c>
      <c r="C475" s="89"/>
      <c r="D475" s="89"/>
      <c r="E475" s="49">
        <f t="shared" si="72"/>
        <v>2.8289359111260199</v>
      </c>
      <c r="F475" s="49"/>
      <c r="G475" s="49">
        <v>2.8289359111260199</v>
      </c>
      <c r="H475" s="49">
        <f t="shared" si="73"/>
        <v>1.9623499999999998</v>
      </c>
      <c r="I475" s="49"/>
      <c r="J475" s="49">
        <v>1.9623499999999998</v>
      </c>
    </row>
    <row r="476" spans="1:10" x14ac:dyDescent="0.25">
      <c r="A476" s="99"/>
      <c r="B476" s="89" t="s">
        <v>207</v>
      </c>
      <c r="C476" s="89"/>
      <c r="D476" s="89"/>
      <c r="E476" s="49">
        <f>+G476</f>
        <v>6.08883263080138</v>
      </c>
      <c r="F476" s="49"/>
      <c r="G476" s="49">
        <f>6088.83263080138/1000</f>
        <v>6.08883263080138</v>
      </c>
      <c r="H476" s="49">
        <f>+J476</f>
        <v>12.295870000000001</v>
      </c>
      <c r="I476" s="49"/>
      <c r="J476" s="49">
        <f>12295.87/1000</f>
        <v>12.295870000000001</v>
      </c>
    </row>
    <row r="477" spans="1:10" x14ac:dyDescent="0.25">
      <c r="A477" s="99"/>
      <c r="B477" s="89" t="s">
        <v>167</v>
      </c>
      <c r="C477" s="89"/>
      <c r="D477" s="89"/>
      <c r="E477" s="49">
        <f>+G477</f>
        <v>11.0348753784736</v>
      </c>
      <c r="F477" s="49"/>
      <c r="G477" s="49">
        <f>11034.8753784736/1000</f>
        <v>11.0348753784736</v>
      </c>
      <c r="H477" s="49">
        <f>+J477</f>
        <v>11.303510000000001</v>
      </c>
      <c r="I477" s="49"/>
      <c r="J477" s="49">
        <f>11303.51/1000</f>
        <v>11.303510000000001</v>
      </c>
    </row>
    <row r="478" spans="1:10" x14ac:dyDescent="0.25">
      <c r="A478" s="99"/>
      <c r="B478" s="89" t="s">
        <v>146</v>
      </c>
      <c r="C478" s="89"/>
      <c r="D478" s="89"/>
      <c r="E478" s="49">
        <f>+G478</f>
        <v>11.818889128303699</v>
      </c>
      <c r="F478" s="49"/>
      <c r="G478" s="49">
        <f>11818.8891283037/1000</f>
        <v>11.818889128303699</v>
      </c>
      <c r="H478" s="49">
        <f>+J478</f>
        <v>10.999709999999999</v>
      </c>
      <c r="I478" s="49"/>
      <c r="J478" s="49">
        <f>10999.71/1000</f>
        <v>10.999709999999999</v>
      </c>
    </row>
    <row r="479" spans="1:10" x14ac:dyDescent="0.25">
      <c r="A479" s="99"/>
      <c r="B479" s="89" t="s">
        <v>222</v>
      </c>
      <c r="C479" s="89"/>
      <c r="D479" s="89"/>
      <c r="E479" s="49">
        <f>G479</f>
        <v>96.5258697894145</v>
      </c>
      <c r="F479" s="49"/>
      <c r="G479" s="49">
        <v>96.5258697894145</v>
      </c>
      <c r="H479" s="49">
        <f>J479</f>
        <v>237.19243</v>
      </c>
      <c r="I479" s="49"/>
      <c r="J479" s="49">
        <f>237192.43/1000</f>
        <v>237.19243</v>
      </c>
    </row>
    <row r="480" spans="1:10" x14ac:dyDescent="0.25">
      <c r="A480" s="99"/>
      <c r="B480" s="89" t="s">
        <v>223</v>
      </c>
      <c r="C480" s="89"/>
      <c r="D480" s="89"/>
      <c r="E480" s="49">
        <f>G480</f>
        <v>159.50058950688501</v>
      </c>
      <c r="F480" s="49"/>
      <c r="G480" s="49">
        <f>159500.589506885/1000</f>
        <v>159.50058950688501</v>
      </c>
      <c r="H480" s="49">
        <f>J480</f>
        <v>32.470199999999998</v>
      </c>
      <c r="I480" s="49"/>
      <c r="J480" s="49">
        <f>32470.2/1000</f>
        <v>32.470199999999998</v>
      </c>
    </row>
    <row r="481" spans="1:10" x14ac:dyDescent="0.25">
      <c r="A481" s="99"/>
      <c r="B481" s="89" t="s">
        <v>224</v>
      </c>
      <c r="C481" s="89"/>
      <c r="D481" s="89"/>
      <c r="E481" s="49">
        <f>G481</f>
        <v>36.205784294205102</v>
      </c>
      <c r="F481" s="49"/>
      <c r="G481" s="49">
        <f>36205.7842942051/1000</f>
        <v>36.205784294205102</v>
      </c>
      <c r="H481" s="49">
        <f>J481</f>
        <v>39.72542</v>
      </c>
      <c r="I481" s="49"/>
      <c r="J481" s="49">
        <f>39725.42/1000</f>
        <v>39.72542</v>
      </c>
    </row>
    <row r="482" spans="1:10" x14ac:dyDescent="0.25">
      <c r="A482" s="99"/>
      <c r="B482" s="90" t="s">
        <v>359</v>
      </c>
      <c r="C482" s="91"/>
      <c r="D482" s="92"/>
      <c r="E482" s="49">
        <f t="shared" ref="E482:E487" si="77">+G482</f>
        <v>27.0426291583452</v>
      </c>
      <c r="F482" s="49"/>
      <c r="G482" s="49">
        <f>27042.6291583452/1000</f>
        <v>27.0426291583452</v>
      </c>
      <c r="H482" s="49">
        <f>+J482</f>
        <v>7.3294300000000003</v>
      </c>
      <c r="I482" s="49"/>
      <c r="J482" s="49">
        <f>7329.43/1000</f>
        <v>7.3294300000000003</v>
      </c>
    </row>
    <row r="483" spans="1:10" x14ac:dyDescent="0.25">
      <c r="A483" s="99"/>
      <c r="B483" s="90" t="s">
        <v>408</v>
      </c>
      <c r="C483" s="91"/>
      <c r="D483" s="92"/>
      <c r="E483" s="49">
        <f t="shared" si="77"/>
        <v>4.4187108416547796</v>
      </c>
      <c r="F483" s="49"/>
      <c r="G483" s="49">
        <f>4418.71084165478/1000</f>
        <v>4.4187108416547796</v>
      </c>
      <c r="H483" s="49">
        <f>+J483</f>
        <v>0</v>
      </c>
      <c r="I483" s="49"/>
      <c r="J483" s="49"/>
    </row>
    <row r="484" spans="1:10" ht="28.5" x14ac:dyDescent="0.25">
      <c r="A484" s="99"/>
      <c r="B484" s="89" t="s">
        <v>131</v>
      </c>
      <c r="C484" s="89" t="s">
        <v>132</v>
      </c>
      <c r="D484" s="108">
        <v>9650.0808199999992</v>
      </c>
      <c r="E484" s="49">
        <f t="shared" si="77"/>
        <v>447.76706999999999</v>
      </c>
      <c r="F484" s="6" t="s">
        <v>133</v>
      </c>
      <c r="G484" s="49">
        <f>447767.07/1000</f>
        <v>447.76706999999999</v>
      </c>
      <c r="H484" s="49">
        <f>+J484</f>
        <v>1552.2329279999997</v>
      </c>
      <c r="I484" s="6" t="s">
        <v>214</v>
      </c>
      <c r="J484" s="49">
        <f>1293527.44/1000*1.2</f>
        <v>1552.2329279999997</v>
      </c>
    </row>
    <row r="485" spans="1:10" ht="28.5" x14ac:dyDescent="0.25">
      <c r="A485" s="99"/>
      <c r="B485" s="89"/>
      <c r="C485" s="89"/>
      <c r="D485" s="108"/>
      <c r="E485" s="49">
        <f t="shared" si="77"/>
        <v>1552.2329299999999</v>
      </c>
      <c r="F485" s="6" t="s">
        <v>134</v>
      </c>
      <c r="G485" s="49">
        <f>1552232.93/1000</f>
        <v>1552.2329299999999</v>
      </c>
      <c r="H485" s="49">
        <f t="shared" ref="H485:H492" si="78">J485</f>
        <v>3189.2170920000003</v>
      </c>
      <c r="I485" s="6" t="s">
        <v>256</v>
      </c>
      <c r="J485" s="49">
        <f>2657680.91*1.2/1000</f>
        <v>3189.2170920000003</v>
      </c>
    </row>
    <row r="486" spans="1:10" ht="28.5" x14ac:dyDescent="0.25">
      <c r="A486" s="99"/>
      <c r="B486" s="89"/>
      <c r="C486" s="89"/>
      <c r="D486" s="108"/>
      <c r="E486" s="49">
        <f t="shared" si="77"/>
        <v>2741.4500200000002</v>
      </c>
      <c r="F486" s="6" t="s">
        <v>354</v>
      </c>
      <c r="G486" s="49">
        <f>2741450.02/1000</f>
        <v>2741.4500200000002</v>
      </c>
      <c r="H486" s="49">
        <f t="shared" si="78"/>
        <v>932.40235199999995</v>
      </c>
      <c r="I486" s="6" t="s">
        <v>333</v>
      </c>
      <c r="J486" s="49">
        <f>777001.96*1.2/1000</f>
        <v>932.40235199999995</v>
      </c>
    </row>
    <row r="487" spans="1:10" ht="28.5" x14ac:dyDescent="0.25">
      <c r="A487" s="99"/>
      <c r="B487" s="89"/>
      <c r="C487" s="89"/>
      <c r="D487" s="108"/>
      <c r="E487" s="49">
        <f t="shared" si="77"/>
        <v>932.40234999999996</v>
      </c>
      <c r="F487" s="6" t="s">
        <v>390</v>
      </c>
      <c r="G487" s="49">
        <f>932402.35/1000</f>
        <v>932.40234999999996</v>
      </c>
      <c r="H487" s="49">
        <f t="shared" si="78"/>
        <v>2252.6888640000002</v>
      </c>
      <c r="I487" s="6" t="s">
        <v>486</v>
      </c>
      <c r="J487" s="49">
        <f>1877240.72*1.2/1000</f>
        <v>2252.6888640000002</v>
      </c>
    </row>
    <row r="488" spans="1:10" x14ac:dyDescent="0.25">
      <c r="A488" s="99"/>
      <c r="B488" s="90" t="s">
        <v>259</v>
      </c>
      <c r="C488" s="91"/>
      <c r="D488" s="92"/>
      <c r="E488" s="49">
        <f t="shared" ref="E488:E491" si="79">G488</f>
        <v>359.76321856975619</v>
      </c>
      <c r="F488" s="49"/>
      <c r="G488" s="49">
        <f>J488</f>
        <v>359.76321856975619</v>
      </c>
      <c r="H488" s="49">
        <f t="shared" si="78"/>
        <v>359.76321856975619</v>
      </c>
      <c r="I488" s="49"/>
      <c r="J488" s="49">
        <f>346578.97/1000+13184.2485697562/1000</f>
        <v>359.76321856975619</v>
      </c>
    </row>
    <row r="489" spans="1:10" x14ac:dyDescent="0.25">
      <c r="A489" s="99"/>
      <c r="B489" s="90" t="s">
        <v>360</v>
      </c>
      <c r="C489" s="91"/>
      <c r="D489" s="92"/>
      <c r="E489" s="49">
        <f t="shared" si="79"/>
        <v>491.80317364304858</v>
      </c>
      <c r="F489" s="49"/>
      <c r="G489" s="49">
        <f>J489</f>
        <v>491.80317364304858</v>
      </c>
      <c r="H489" s="49">
        <f t="shared" si="78"/>
        <v>491.80317364304858</v>
      </c>
      <c r="I489" s="49"/>
      <c r="J489" s="49">
        <f>457819.92/1000+33983.2536430486/1000</f>
        <v>491.80317364304858</v>
      </c>
    </row>
    <row r="490" spans="1:10" x14ac:dyDescent="0.25">
      <c r="A490" s="99"/>
      <c r="B490" s="90" t="s">
        <v>409</v>
      </c>
      <c r="C490" s="91"/>
      <c r="D490" s="92"/>
      <c r="E490" s="49">
        <f t="shared" si="79"/>
        <v>216.16722490023932</v>
      </c>
      <c r="F490" s="49"/>
      <c r="G490" s="49">
        <f>J490</f>
        <v>216.16722490023932</v>
      </c>
      <c r="H490" s="49">
        <f t="shared" si="78"/>
        <v>216.16722490023932</v>
      </c>
      <c r="I490" s="49"/>
      <c r="J490" s="49">
        <f>203029.23/1000+13137.9949002393/1000</f>
        <v>216.16722490023932</v>
      </c>
    </row>
    <row r="491" spans="1:10" x14ac:dyDescent="0.25">
      <c r="A491" s="94"/>
      <c r="B491" s="90" t="s">
        <v>452</v>
      </c>
      <c r="C491" s="91"/>
      <c r="D491" s="92"/>
      <c r="E491" s="49">
        <f t="shared" si="79"/>
        <v>202.60180806234578</v>
      </c>
      <c r="F491" s="49"/>
      <c r="G491" s="49">
        <f>J491</f>
        <v>202.60180806234578</v>
      </c>
      <c r="H491" s="49">
        <f t="shared" si="78"/>
        <v>202.60180806234578</v>
      </c>
      <c r="I491" s="49"/>
      <c r="J491" s="49">
        <f>191162.13/1000+11439.6780623458/1000</f>
        <v>202.60180806234578</v>
      </c>
    </row>
    <row r="492" spans="1:10" ht="42.75" x14ac:dyDescent="0.25">
      <c r="A492" s="93" t="s">
        <v>60</v>
      </c>
      <c r="B492" s="48" t="s">
        <v>487</v>
      </c>
      <c r="C492" s="48" t="s">
        <v>488</v>
      </c>
      <c r="D492" s="50">
        <v>4462.8337600000004</v>
      </c>
      <c r="E492" s="49"/>
      <c r="F492" s="49"/>
      <c r="G492" s="49"/>
      <c r="H492" s="49">
        <f t="shared" si="78"/>
        <v>184.91514000000001</v>
      </c>
      <c r="I492" s="6" t="s">
        <v>489</v>
      </c>
      <c r="J492" s="49">
        <f>154095.95*1.2/1000</f>
        <v>184.91514000000001</v>
      </c>
    </row>
    <row r="493" spans="1:10" ht="17.25" customHeight="1" x14ac:dyDescent="0.25">
      <c r="A493" s="99"/>
      <c r="B493" s="89" t="s">
        <v>22</v>
      </c>
      <c r="C493" s="89"/>
      <c r="D493" s="89"/>
      <c r="E493" s="49">
        <f t="shared" si="72"/>
        <v>2.0833685767098</v>
      </c>
      <c r="F493" s="49"/>
      <c r="G493" s="49">
        <v>2.0833685767098</v>
      </c>
      <c r="H493" s="49">
        <f t="shared" si="73"/>
        <v>9.1717900000000014</v>
      </c>
      <c r="I493" s="49"/>
      <c r="J493" s="49">
        <v>9.1717900000000014</v>
      </c>
    </row>
    <row r="494" spans="1:10" ht="17.25" customHeight="1" x14ac:dyDescent="0.25">
      <c r="A494" s="99"/>
      <c r="B494" s="89" t="s">
        <v>27</v>
      </c>
      <c r="C494" s="89"/>
      <c r="D494" s="89"/>
      <c r="E494" s="49">
        <f t="shared" si="72"/>
        <v>8.9086467939656604</v>
      </c>
      <c r="F494" s="49"/>
      <c r="G494" s="49">
        <v>8.9086467939656604</v>
      </c>
      <c r="H494" s="49">
        <f t="shared" si="73"/>
        <v>4.4954600000000005</v>
      </c>
      <c r="I494" s="49"/>
      <c r="J494" s="49">
        <v>4.4954600000000005</v>
      </c>
    </row>
    <row r="495" spans="1:10" ht="17.25" customHeight="1" x14ac:dyDescent="0.25">
      <c r="A495" s="99"/>
      <c r="B495" s="89" t="s">
        <v>28</v>
      </c>
      <c r="C495" s="89"/>
      <c r="D495" s="89"/>
      <c r="E495" s="49">
        <f t="shared" si="72"/>
        <v>3.6814702756841298</v>
      </c>
      <c r="F495" s="49"/>
      <c r="G495" s="49">
        <v>3.6814702756841298</v>
      </c>
      <c r="H495" s="49">
        <f t="shared" si="73"/>
        <v>3.0721599999999998</v>
      </c>
      <c r="I495" s="49"/>
      <c r="J495" s="49">
        <v>3.0721599999999998</v>
      </c>
    </row>
    <row r="496" spans="1:10" ht="17.25" customHeight="1" x14ac:dyDescent="0.25">
      <c r="A496" s="99"/>
      <c r="B496" s="89" t="s">
        <v>207</v>
      </c>
      <c r="C496" s="89"/>
      <c r="D496" s="89"/>
      <c r="E496" s="49">
        <f t="shared" ref="E496:E501" si="80">+G496</f>
        <v>7.7549511347563005</v>
      </c>
      <c r="F496" s="49"/>
      <c r="G496" s="49">
        <f>7754.9511347563/1000</f>
        <v>7.7549511347563005</v>
      </c>
      <c r="H496" s="49">
        <f>+J496</f>
        <v>14.667309999999999</v>
      </c>
      <c r="I496" s="49"/>
      <c r="J496" s="49">
        <f>14667.31/1000</f>
        <v>14.667309999999999</v>
      </c>
    </row>
    <row r="497" spans="1:10" ht="17.25" customHeight="1" x14ac:dyDescent="0.25">
      <c r="A497" s="99"/>
      <c r="B497" s="89" t="s">
        <v>167</v>
      </c>
      <c r="C497" s="89"/>
      <c r="D497" s="89"/>
      <c r="E497" s="49">
        <f t="shared" si="80"/>
        <v>13.7295568129251</v>
      </c>
      <c r="F497" s="49"/>
      <c r="G497" s="49">
        <f>13729.5568129251/1000</f>
        <v>13.7295568129251</v>
      </c>
      <c r="H497" s="49">
        <f>+J497</f>
        <v>15.308579999999999</v>
      </c>
      <c r="I497" s="49"/>
      <c r="J497" s="49">
        <f>15308.58/1000</f>
        <v>15.308579999999999</v>
      </c>
    </row>
    <row r="498" spans="1:10" ht="17.25" customHeight="1" x14ac:dyDescent="0.25">
      <c r="A498" s="99"/>
      <c r="B498" s="89" t="s">
        <v>146</v>
      </c>
      <c r="C498" s="89"/>
      <c r="D498" s="89"/>
      <c r="E498" s="49">
        <f t="shared" si="80"/>
        <v>13.8867717472053</v>
      </c>
      <c r="F498" s="49"/>
      <c r="G498" s="49">
        <f>13886.7717472053/1000</f>
        <v>13.8867717472053</v>
      </c>
      <c r="H498" s="49">
        <f>+J498</f>
        <v>9.1020900000000005</v>
      </c>
      <c r="I498" s="49"/>
      <c r="J498" s="49">
        <f>9102.09/1000</f>
        <v>9.1020900000000005</v>
      </c>
    </row>
    <row r="499" spans="1:10" ht="17.25" customHeight="1" x14ac:dyDescent="0.25">
      <c r="A499" s="99"/>
      <c r="B499" s="89" t="s">
        <v>222</v>
      </c>
      <c r="C499" s="89"/>
      <c r="D499" s="89"/>
      <c r="E499" s="49">
        <f t="shared" si="80"/>
        <v>5.7726246587537098</v>
      </c>
      <c r="F499" s="49"/>
      <c r="G499" s="49">
        <f>5772.62465875371/1000</f>
        <v>5.7726246587537098</v>
      </c>
      <c r="H499" s="49">
        <f>+J499</f>
        <v>0</v>
      </c>
      <c r="I499" s="49"/>
      <c r="J499" s="49"/>
    </row>
    <row r="500" spans="1:10" ht="17.25" customHeight="1" x14ac:dyDescent="0.25">
      <c r="A500" s="99"/>
      <c r="B500" s="89" t="s">
        <v>222</v>
      </c>
      <c r="C500" s="89"/>
      <c r="D500" s="89"/>
      <c r="E500" s="49">
        <f t="shared" si="80"/>
        <v>13.651100148588402</v>
      </c>
      <c r="F500" s="49"/>
      <c r="G500" s="49">
        <f>13651.1001485884/1000</f>
        <v>13.651100148588402</v>
      </c>
      <c r="H500" s="49">
        <f>+J500</f>
        <v>37.380420000000001</v>
      </c>
      <c r="I500" s="49"/>
      <c r="J500" s="49">
        <f>37380.42/1000</f>
        <v>37.380420000000001</v>
      </c>
    </row>
    <row r="501" spans="1:10" ht="17.25" customHeight="1" x14ac:dyDescent="0.25">
      <c r="A501" s="99"/>
      <c r="B501" s="89" t="s">
        <v>224</v>
      </c>
      <c r="C501" s="89"/>
      <c r="D501" s="89"/>
      <c r="E501" s="49">
        <f t="shared" si="80"/>
        <v>70.102614851411602</v>
      </c>
      <c r="F501" s="49"/>
      <c r="G501" s="49">
        <f>70102.6148514116/1000</f>
        <v>70.102614851411602</v>
      </c>
      <c r="H501" s="49">
        <f>J501</f>
        <v>119.52997000000001</v>
      </c>
      <c r="I501" s="49"/>
      <c r="J501" s="49">
        <f>119529.97/1000</f>
        <v>119.52997000000001</v>
      </c>
    </row>
    <row r="502" spans="1:10" ht="17.25" customHeight="1" x14ac:dyDescent="0.25">
      <c r="A502" s="99"/>
      <c r="B502" s="90" t="s">
        <v>359</v>
      </c>
      <c r="C502" s="91"/>
      <c r="D502" s="92"/>
      <c r="E502" s="49">
        <f>+G502</f>
        <v>109.311514101284</v>
      </c>
      <c r="F502" s="49"/>
      <c r="G502" s="49">
        <f>109311.514101284/1000</f>
        <v>109.311514101284</v>
      </c>
      <c r="H502" s="49">
        <f>+J502</f>
        <v>91.123779999999996</v>
      </c>
      <c r="I502" s="49"/>
      <c r="J502" s="49">
        <f>91123.78/1000</f>
        <v>91.123779999999996</v>
      </c>
    </row>
    <row r="503" spans="1:10" ht="17.25" customHeight="1" x14ac:dyDescent="0.25">
      <c r="A503" s="99"/>
      <c r="B503" s="90" t="s">
        <v>408</v>
      </c>
      <c r="C503" s="91"/>
      <c r="D503" s="92"/>
      <c r="E503" s="49">
        <f>+G503</f>
        <v>93.273128838967708</v>
      </c>
      <c r="F503" s="49"/>
      <c r="G503" s="49">
        <f>93273.1288389677/1000</f>
        <v>93.273128838967708</v>
      </c>
      <c r="H503" s="49">
        <f>+J503</f>
        <v>108.82073</v>
      </c>
      <c r="I503" s="49"/>
      <c r="J503" s="49">
        <f>108820.73/1000</f>
        <v>108.82073</v>
      </c>
    </row>
    <row r="504" spans="1:10" ht="17.25" customHeight="1" x14ac:dyDescent="0.25">
      <c r="A504" s="99"/>
      <c r="B504" s="90" t="s">
        <v>465</v>
      </c>
      <c r="C504" s="91"/>
      <c r="D504" s="92"/>
      <c r="E504" s="49">
        <f>+G504</f>
        <v>283.08360205974805</v>
      </c>
      <c r="F504" s="49"/>
      <c r="G504" s="49">
        <f>283083.602059748/1000</f>
        <v>283.08360205974805</v>
      </c>
      <c r="H504" s="49">
        <f>+J504</f>
        <v>271.71728999999999</v>
      </c>
      <c r="I504" s="49"/>
      <c r="J504" s="49">
        <f>271717.29/1000</f>
        <v>271.71728999999999</v>
      </c>
    </row>
    <row r="505" spans="1:10" ht="17.25" customHeight="1" x14ac:dyDescent="0.25">
      <c r="A505" s="99"/>
      <c r="B505" s="90" t="s">
        <v>259</v>
      </c>
      <c r="C505" s="91"/>
      <c r="D505" s="92"/>
      <c r="E505" s="49">
        <f t="shared" ref="E505:E508" si="81">G505</f>
        <v>177.26891690437088</v>
      </c>
      <c r="F505" s="49"/>
      <c r="G505" s="49">
        <f>J505</f>
        <v>177.26891690437088</v>
      </c>
      <c r="H505" s="49">
        <f>J505</f>
        <v>177.26891690437088</v>
      </c>
      <c r="I505" s="49"/>
      <c r="J505" s="49">
        <f>170772.54/1000+6496.37690437085/1000</f>
        <v>177.26891690437088</v>
      </c>
    </row>
    <row r="506" spans="1:10" ht="17.25" customHeight="1" x14ac:dyDescent="0.25">
      <c r="A506" s="99"/>
      <c r="B506" s="90" t="s">
        <v>360</v>
      </c>
      <c r="C506" s="91"/>
      <c r="D506" s="92"/>
      <c r="E506" s="49">
        <f t="shared" si="81"/>
        <v>166.17942120910519</v>
      </c>
      <c r="F506" s="49"/>
      <c r="G506" s="49">
        <f>J506</f>
        <v>166.17942120910519</v>
      </c>
      <c r="H506" s="49">
        <f>J506</f>
        <v>166.17942120910519</v>
      </c>
      <c r="I506" s="49"/>
      <c r="J506" s="49">
        <f>154696.54/1000+11482.8812091052/1000</f>
        <v>166.17942120910519</v>
      </c>
    </row>
    <row r="507" spans="1:10" ht="17.25" customHeight="1" x14ac:dyDescent="0.25">
      <c r="A507" s="99"/>
      <c r="B507" s="90" t="s">
        <v>409</v>
      </c>
      <c r="C507" s="91"/>
      <c r="D507" s="92"/>
      <c r="E507" s="49">
        <f t="shared" si="81"/>
        <v>150.06042189533355</v>
      </c>
      <c r="F507" s="49"/>
      <c r="G507" s="49">
        <f>J507</f>
        <v>150.06042189533355</v>
      </c>
      <c r="H507" s="49">
        <f>J507</f>
        <v>150.06042189533355</v>
      </c>
      <c r="I507" s="49"/>
      <c r="J507" s="49">
        <f>140940.2/1000+9120.22189533353/1000</f>
        <v>150.06042189533355</v>
      </c>
    </row>
    <row r="508" spans="1:10" ht="17.25" customHeight="1" x14ac:dyDescent="0.25">
      <c r="A508" s="94"/>
      <c r="B508" s="90" t="s">
        <v>452</v>
      </c>
      <c r="C508" s="91"/>
      <c r="D508" s="92"/>
      <c r="E508" s="49">
        <f t="shared" si="81"/>
        <v>122.36723518983385</v>
      </c>
      <c r="F508" s="49"/>
      <c r="G508" s="49">
        <f>J508</f>
        <v>122.36723518983385</v>
      </c>
      <c r="H508" s="49">
        <f>J508</f>
        <v>122.36723518983385</v>
      </c>
      <c r="I508" s="49"/>
      <c r="J508" s="49">
        <f>115457.91/1000+6909.32518983385/1000</f>
        <v>122.36723518983385</v>
      </c>
    </row>
    <row r="509" spans="1:10" ht="28.5" x14ac:dyDescent="0.25">
      <c r="A509" s="93" t="s">
        <v>61</v>
      </c>
      <c r="B509" s="48" t="s">
        <v>109</v>
      </c>
      <c r="C509" s="48"/>
      <c r="D509" s="48"/>
      <c r="E509" s="49">
        <f>G509</f>
        <v>5.6110100000000003</v>
      </c>
      <c r="F509" s="6" t="s">
        <v>110</v>
      </c>
      <c r="G509" s="49">
        <f>5611.01/1000</f>
        <v>5.6110100000000003</v>
      </c>
      <c r="H509" s="49"/>
      <c r="I509" s="49"/>
      <c r="J509" s="49"/>
    </row>
    <row r="510" spans="1:10" ht="42.75" x14ac:dyDescent="0.25">
      <c r="A510" s="99"/>
      <c r="B510" s="93" t="s">
        <v>205</v>
      </c>
      <c r="C510" s="48" t="s">
        <v>254</v>
      </c>
      <c r="D510" s="53">
        <f>17837043.6/1000</f>
        <v>17837.043600000001</v>
      </c>
      <c r="E510" s="49">
        <f>G510</f>
        <v>1570.5058100000001</v>
      </c>
      <c r="F510" s="6" t="s">
        <v>404</v>
      </c>
      <c r="G510" s="49">
        <f>1570505.81/1000</f>
        <v>1570.5058100000001</v>
      </c>
      <c r="H510" s="49">
        <f>J510</f>
        <v>1570.5058079999999</v>
      </c>
      <c r="I510" s="6" t="s">
        <v>309</v>
      </c>
      <c r="J510" s="49">
        <f>1308754.84*1.2/1000</f>
        <v>1570.5058079999999</v>
      </c>
    </row>
    <row r="511" spans="1:10" x14ac:dyDescent="0.25">
      <c r="A511" s="99"/>
      <c r="B511" s="99"/>
      <c r="C511" s="93" t="s">
        <v>508</v>
      </c>
      <c r="D511" s="103">
        <v>17837.043600000001</v>
      </c>
      <c r="E511" s="49"/>
      <c r="F511" s="6"/>
      <c r="G511" s="49"/>
      <c r="H511" s="49">
        <f>J511</f>
        <v>428.45452799999998</v>
      </c>
      <c r="I511" s="6"/>
      <c r="J511" s="49">
        <f>357045.44*1.2/1000</f>
        <v>428.45452799999998</v>
      </c>
    </row>
    <row r="512" spans="1:10" ht="28.5" x14ac:dyDescent="0.25">
      <c r="A512" s="99"/>
      <c r="B512" s="99"/>
      <c r="C512" s="99"/>
      <c r="D512" s="104"/>
      <c r="E512" s="49">
        <f>G512</f>
        <v>365.76246999999995</v>
      </c>
      <c r="F512" s="6" t="s">
        <v>402</v>
      </c>
      <c r="G512" s="49">
        <f>365762.47/1000</f>
        <v>365.76246999999995</v>
      </c>
      <c r="H512" s="49"/>
      <c r="I512" s="6"/>
      <c r="J512" s="49"/>
    </row>
    <row r="513" spans="1:10" ht="28.5" x14ac:dyDescent="0.25">
      <c r="A513" s="99"/>
      <c r="B513" s="99"/>
      <c r="C513" s="99"/>
      <c r="D513" s="104"/>
      <c r="E513" s="49">
        <f>G513</f>
        <v>428.45453000000003</v>
      </c>
      <c r="F513" s="6" t="s">
        <v>403</v>
      </c>
      <c r="G513" s="49">
        <f>428454.53/1000</f>
        <v>428.45453000000003</v>
      </c>
      <c r="H513" s="49"/>
      <c r="I513" s="6"/>
      <c r="J513" s="49"/>
    </row>
    <row r="514" spans="1:10" ht="28.5" x14ac:dyDescent="0.25">
      <c r="A514" s="99"/>
      <c r="B514" s="94"/>
      <c r="C514" s="94"/>
      <c r="D514" s="105"/>
      <c r="E514" s="49">
        <f>G514</f>
        <v>1215.3360600000001</v>
      </c>
      <c r="F514" s="6" t="s">
        <v>405</v>
      </c>
      <c r="G514" s="49">
        <f>1215336.06/1000</f>
        <v>1215.3360600000001</v>
      </c>
      <c r="H514" s="49"/>
      <c r="I514" s="6"/>
      <c r="J514" s="49"/>
    </row>
    <row r="515" spans="1:10" ht="28.5" x14ac:dyDescent="0.25">
      <c r="A515" s="99"/>
      <c r="B515" s="93" t="s">
        <v>315</v>
      </c>
      <c r="C515" s="93" t="s">
        <v>316</v>
      </c>
      <c r="D515" s="103">
        <v>62.120959999999997</v>
      </c>
      <c r="E515" s="49">
        <f t="shared" si="72"/>
        <v>5.6473599999999999</v>
      </c>
      <c r="F515" s="6" t="s">
        <v>420</v>
      </c>
      <c r="G515" s="49">
        <f>5647.36/1000</f>
        <v>5.6473599999999999</v>
      </c>
      <c r="H515" s="49">
        <f t="shared" ref="H515:H516" si="82">J515</f>
        <v>1.69421</v>
      </c>
      <c r="I515" s="6" t="s">
        <v>317</v>
      </c>
      <c r="J515" s="49">
        <f>1694.21/1000</f>
        <v>1.69421</v>
      </c>
    </row>
    <row r="516" spans="1:10" ht="28.5" x14ac:dyDescent="0.25">
      <c r="A516" s="99"/>
      <c r="B516" s="99"/>
      <c r="C516" s="99"/>
      <c r="D516" s="104"/>
      <c r="E516" s="49"/>
      <c r="F516" s="6"/>
      <c r="G516" s="49"/>
      <c r="H516" s="49">
        <f t="shared" si="82"/>
        <v>5.6473599999999999</v>
      </c>
      <c r="I516" s="6" t="s">
        <v>318</v>
      </c>
      <c r="J516" s="49">
        <f>5647.36/1000</f>
        <v>5.6473599999999999</v>
      </c>
    </row>
    <row r="517" spans="1:10" ht="28.5" x14ac:dyDescent="0.25">
      <c r="A517" s="99"/>
      <c r="B517" s="99"/>
      <c r="C517" s="99"/>
      <c r="D517" s="104"/>
      <c r="E517" s="49"/>
      <c r="F517" s="6"/>
      <c r="G517" s="49"/>
      <c r="H517" s="49">
        <f>J517</f>
        <v>5.6473599999999999</v>
      </c>
      <c r="I517" s="6" t="s">
        <v>319</v>
      </c>
      <c r="J517" s="49">
        <f>5647.36/1000</f>
        <v>5.6473599999999999</v>
      </c>
    </row>
    <row r="518" spans="1:10" ht="28.5" x14ac:dyDescent="0.25">
      <c r="A518" s="99"/>
      <c r="B518" s="94"/>
      <c r="C518" s="94"/>
      <c r="D518" s="105"/>
      <c r="E518" s="49"/>
      <c r="F518" s="6"/>
      <c r="G518" s="49"/>
      <c r="H518" s="49">
        <f>J518</f>
        <v>5.6473559999999994</v>
      </c>
      <c r="I518" s="25" t="s">
        <v>478</v>
      </c>
      <c r="J518" s="49">
        <f>4706.13*1.2/1000</f>
        <v>5.6473559999999994</v>
      </c>
    </row>
    <row r="519" spans="1:10" ht="21.75" customHeight="1" x14ac:dyDescent="0.25">
      <c r="A519" s="99"/>
      <c r="B519" s="89" t="s">
        <v>22</v>
      </c>
      <c r="C519" s="89"/>
      <c r="D519" s="89"/>
      <c r="E519" s="49">
        <f t="shared" si="72"/>
        <v>1.92694417744917</v>
      </c>
      <c r="F519" s="49"/>
      <c r="G519" s="49">
        <v>1.92694417744917</v>
      </c>
      <c r="H519" s="49">
        <f t="shared" si="73"/>
        <v>8.4831399999999988</v>
      </c>
      <c r="I519" s="49"/>
      <c r="J519" s="49">
        <v>8.4831399999999988</v>
      </c>
    </row>
    <row r="520" spans="1:10" ht="21.75" customHeight="1" x14ac:dyDescent="0.25">
      <c r="A520" s="99"/>
      <c r="B520" s="89" t="s">
        <v>27</v>
      </c>
      <c r="C520" s="89"/>
      <c r="D520" s="89"/>
      <c r="E520" s="49">
        <f t="shared" si="72"/>
        <v>9.2865286067353416</v>
      </c>
      <c r="F520" s="49"/>
      <c r="G520" s="49">
        <v>9.2865286067353416</v>
      </c>
      <c r="H520" s="49">
        <f t="shared" si="73"/>
        <v>6.7431899999999994</v>
      </c>
      <c r="I520" s="49"/>
      <c r="J520" s="49">
        <v>6.7431899999999994</v>
      </c>
    </row>
    <row r="521" spans="1:10" ht="21.75" customHeight="1" x14ac:dyDescent="0.25">
      <c r="A521" s="99"/>
      <c r="B521" s="89" t="s">
        <v>28</v>
      </c>
      <c r="C521" s="89"/>
      <c r="D521" s="89"/>
      <c r="E521" s="49">
        <f>G521</f>
        <v>5.0029943999999995</v>
      </c>
      <c r="F521" s="49"/>
      <c r="G521" s="49">
        <f>5002.9944/1000</f>
        <v>5.0029943999999995</v>
      </c>
      <c r="H521" s="49">
        <f t="shared" si="73"/>
        <v>3.0230199999999998</v>
      </c>
      <c r="I521" s="49"/>
      <c r="J521" s="49">
        <v>3.0230199999999998</v>
      </c>
    </row>
    <row r="522" spans="1:10" ht="21.75" customHeight="1" x14ac:dyDescent="0.25">
      <c r="A522" s="99"/>
      <c r="B522" s="89" t="s">
        <v>207</v>
      </c>
      <c r="C522" s="89"/>
      <c r="D522" s="89"/>
      <c r="E522" s="49">
        <f>+G522</f>
        <v>32.168088787739698</v>
      </c>
      <c r="F522" s="49"/>
      <c r="G522" s="49">
        <f>32168.0887877397/1000</f>
        <v>32.168088787739698</v>
      </c>
      <c r="H522" s="49">
        <f>+J522</f>
        <v>77.693919999999991</v>
      </c>
      <c r="I522" s="49"/>
      <c r="J522" s="49">
        <f>77693.92/1000</f>
        <v>77.693919999999991</v>
      </c>
    </row>
    <row r="523" spans="1:10" ht="21.75" customHeight="1" x14ac:dyDescent="0.25">
      <c r="A523" s="99"/>
      <c r="B523" s="89" t="s">
        <v>167</v>
      </c>
      <c r="C523" s="89"/>
      <c r="D523" s="89"/>
      <c r="E523" s="49">
        <f>+G523</f>
        <v>78.623148977789498</v>
      </c>
      <c r="F523" s="49"/>
      <c r="G523" s="49">
        <f>78623.1489777895/1000</f>
        <v>78.623148977789498</v>
      </c>
      <c r="H523" s="49">
        <f>+J523</f>
        <v>98.5749</v>
      </c>
      <c r="I523" s="49"/>
      <c r="J523" s="49">
        <f>98574.9/1000</f>
        <v>98.5749</v>
      </c>
    </row>
    <row r="524" spans="1:10" ht="21.75" customHeight="1" x14ac:dyDescent="0.25">
      <c r="A524" s="99"/>
      <c r="B524" s="89" t="s">
        <v>146</v>
      </c>
      <c r="C524" s="89"/>
      <c r="D524" s="89"/>
      <c r="E524" s="49">
        <f>+G524</f>
        <v>87.712985799446301</v>
      </c>
      <c r="F524" s="49"/>
      <c r="G524" s="49">
        <f>87712.9857994463/1000</f>
        <v>87.712985799446301</v>
      </c>
      <c r="H524" s="49">
        <f>+J524</f>
        <v>53.693349999999995</v>
      </c>
      <c r="I524" s="49"/>
      <c r="J524" s="49">
        <f>53693.35/1000</f>
        <v>53.693349999999995</v>
      </c>
    </row>
    <row r="525" spans="1:10" ht="21.75" customHeight="1" x14ac:dyDescent="0.25">
      <c r="A525" s="99"/>
      <c r="B525" s="89" t="s">
        <v>222</v>
      </c>
      <c r="C525" s="89"/>
      <c r="D525" s="89"/>
      <c r="E525" s="49">
        <f>G525</f>
        <v>75.153962021402194</v>
      </c>
      <c r="F525" s="49"/>
      <c r="G525" s="49">
        <v>75.153962021402194</v>
      </c>
      <c r="H525" s="49">
        <f t="shared" ref="H525:H537" si="83">J525</f>
        <v>110.6797</v>
      </c>
      <c r="I525" s="49"/>
      <c r="J525" s="49">
        <f>110679.7/1000</f>
        <v>110.6797</v>
      </c>
    </row>
    <row r="526" spans="1:10" ht="21.75" customHeight="1" x14ac:dyDescent="0.25">
      <c r="A526" s="99"/>
      <c r="B526" s="89" t="s">
        <v>223</v>
      </c>
      <c r="C526" s="89"/>
      <c r="D526" s="89"/>
      <c r="E526" s="49">
        <f>G526</f>
        <v>103.409111635019</v>
      </c>
      <c r="F526" s="49"/>
      <c r="G526" s="49">
        <v>103.409111635019</v>
      </c>
      <c r="H526" s="49">
        <f t="shared" si="83"/>
        <v>91.766509999999997</v>
      </c>
      <c r="I526" s="49"/>
      <c r="J526" s="49">
        <v>91.766509999999997</v>
      </c>
    </row>
    <row r="527" spans="1:10" ht="21.75" customHeight="1" x14ac:dyDescent="0.25">
      <c r="A527" s="99"/>
      <c r="B527" s="89" t="s">
        <v>224</v>
      </c>
      <c r="C527" s="89"/>
      <c r="D527" s="89"/>
      <c r="E527" s="49">
        <f>G527</f>
        <v>86.756205572065397</v>
      </c>
      <c r="F527" s="49"/>
      <c r="G527" s="49">
        <f>86756.2055720654/1000</f>
        <v>86.756205572065397</v>
      </c>
      <c r="H527" s="49">
        <f t="shared" si="83"/>
        <v>76.511409999999998</v>
      </c>
      <c r="I527" s="49"/>
      <c r="J527" s="49">
        <f>76511.41/1000</f>
        <v>76.511409999999998</v>
      </c>
    </row>
    <row r="528" spans="1:10" ht="21.75" customHeight="1" x14ac:dyDescent="0.25">
      <c r="A528" s="99"/>
      <c r="B528" s="90" t="s">
        <v>359</v>
      </c>
      <c r="C528" s="91"/>
      <c r="D528" s="92"/>
      <c r="E528" s="49">
        <f>+G528</f>
        <v>74.83265532097009</v>
      </c>
      <c r="F528" s="49"/>
      <c r="G528" s="49">
        <f>74832.6553209701/1000</f>
        <v>74.83265532097009</v>
      </c>
      <c r="H528" s="49">
        <f>+J528</f>
        <v>69.866880000000009</v>
      </c>
      <c r="I528" s="49"/>
      <c r="J528" s="49">
        <f>69866.88/1000</f>
        <v>69.866880000000009</v>
      </c>
    </row>
    <row r="529" spans="1:23" ht="21.75" customHeight="1" x14ac:dyDescent="0.25">
      <c r="A529" s="99"/>
      <c r="B529" s="90" t="s">
        <v>408</v>
      </c>
      <c r="C529" s="91"/>
      <c r="D529" s="92"/>
      <c r="E529" s="49">
        <f>+G529</f>
        <v>169.558563436892</v>
      </c>
      <c r="F529" s="49"/>
      <c r="G529" s="49">
        <f>169558.563436892/1000</f>
        <v>169.558563436892</v>
      </c>
      <c r="H529" s="49">
        <f>+J529</f>
        <v>361.46411000000001</v>
      </c>
      <c r="I529" s="49"/>
      <c r="J529" s="49">
        <f>361464.11/1000</f>
        <v>361.46411000000001</v>
      </c>
    </row>
    <row r="530" spans="1:23" ht="21.75" customHeight="1" x14ac:dyDescent="0.25">
      <c r="A530" s="99"/>
      <c r="B530" s="90" t="s">
        <v>465</v>
      </c>
      <c r="C530" s="91"/>
      <c r="D530" s="92"/>
      <c r="E530" s="49">
        <f>+G530</f>
        <v>479.36804124213802</v>
      </c>
      <c r="F530" s="49"/>
      <c r="G530" s="49">
        <f>479368.041242138/1000</f>
        <v>479.36804124213802</v>
      </c>
      <c r="H530" s="49">
        <f>+J530</f>
        <v>309.13526999999999</v>
      </c>
      <c r="I530" s="49"/>
      <c r="J530" s="49">
        <f>309135.27/1000</f>
        <v>309.13526999999999</v>
      </c>
    </row>
    <row r="531" spans="1:23" ht="21.75" customHeight="1" x14ac:dyDescent="0.25">
      <c r="A531" s="99"/>
      <c r="B531" s="90" t="s">
        <v>259</v>
      </c>
      <c r="C531" s="91"/>
      <c r="D531" s="92"/>
      <c r="E531" s="49">
        <f t="shared" ref="E531:E534" si="84">G531</f>
        <v>60.91379899036852</v>
      </c>
      <c r="F531" s="49"/>
      <c r="G531" s="49">
        <f>J531</f>
        <v>60.91379899036852</v>
      </c>
      <c r="H531" s="49">
        <f t="shared" si="83"/>
        <v>60.91379899036852</v>
      </c>
      <c r="I531" s="49"/>
      <c r="J531" s="49">
        <f>58681.49/1000+2232.30899036852/1000</f>
        <v>60.91379899036852</v>
      </c>
    </row>
    <row r="532" spans="1:23" ht="21.75" customHeight="1" x14ac:dyDescent="0.25">
      <c r="A532" s="99"/>
      <c r="B532" s="90" t="s">
        <v>360</v>
      </c>
      <c r="C532" s="91"/>
      <c r="D532" s="92"/>
      <c r="E532" s="49">
        <f t="shared" si="84"/>
        <v>57.103190316867384</v>
      </c>
      <c r="F532" s="49"/>
      <c r="G532" s="49">
        <f>J532</f>
        <v>57.103190316867384</v>
      </c>
      <c r="H532" s="49">
        <f>J532</f>
        <v>57.103190316867384</v>
      </c>
      <c r="I532" s="49"/>
      <c r="J532" s="49">
        <f>53157.4/1000+3945.79031686738/1000</f>
        <v>57.103190316867384</v>
      </c>
    </row>
    <row r="533" spans="1:23" ht="21.75" customHeight="1" x14ac:dyDescent="0.25">
      <c r="A533" s="99"/>
      <c r="B533" s="90" t="s">
        <v>409</v>
      </c>
      <c r="C533" s="91"/>
      <c r="D533" s="92"/>
      <c r="E533" s="49">
        <f t="shared" si="84"/>
        <v>51.564346139484677</v>
      </c>
      <c r="F533" s="49"/>
      <c r="G533" s="49">
        <f>J533</f>
        <v>51.564346139484677</v>
      </c>
      <c r="H533" s="49">
        <f>J533</f>
        <v>51.564346139484677</v>
      </c>
      <c r="I533" s="49"/>
      <c r="J533" s="49">
        <f>48430.42/1000+3133.92613948468/1000</f>
        <v>51.564346139484677</v>
      </c>
    </row>
    <row r="534" spans="1:23" ht="21.75" customHeight="1" x14ac:dyDescent="0.25">
      <c r="A534" s="94"/>
      <c r="B534" s="90" t="s">
        <v>452</v>
      </c>
      <c r="C534" s="91"/>
      <c r="D534" s="92"/>
      <c r="E534" s="49">
        <f t="shared" si="84"/>
        <v>40.006999193971275</v>
      </c>
      <c r="F534" s="49"/>
      <c r="G534" s="49">
        <f>J534</f>
        <v>40.006999193971275</v>
      </c>
      <c r="H534" s="49">
        <f>J534</f>
        <v>40.006999193971275</v>
      </c>
      <c r="I534" s="49"/>
      <c r="J534" s="49">
        <f>37748.05/1000+2258.94919397127/1000</f>
        <v>40.006999193971275</v>
      </c>
    </row>
    <row r="535" spans="1:23" ht="42.75" x14ac:dyDescent="0.25">
      <c r="A535" s="93" t="s">
        <v>41</v>
      </c>
      <c r="B535" s="93" t="s">
        <v>37</v>
      </c>
      <c r="C535" s="93" t="s">
        <v>38</v>
      </c>
      <c r="D535" s="109">
        <v>9559.4439999999995</v>
      </c>
      <c r="E535" s="49">
        <f>G535</f>
        <v>1205.3496</v>
      </c>
      <c r="F535" s="6" t="s">
        <v>68</v>
      </c>
      <c r="G535" s="49">
        <f>1205349.6/1000</f>
        <v>1205.3496</v>
      </c>
      <c r="H535" s="49">
        <f t="shared" si="83"/>
        <v>152.92079999999999</v>
      </c>
      <c r="I535" s="6" t="s">
        <v>115</v>
      </c>
      <c r="J535" s="49">
        <f>127434*1.2/1000</f>
        <v>152.92079999999999</v>
      </c>
    </row>
    <row r="536" spans="1:23" ht="42.75" x14ac:dyDescent="0.25">
      <c r="A536" s="99"/>
      <c r="B536" s="99"/>
      <c r="C536" s="99"/>
      <c r="D536" s="110"/>
      <c r="E536" s="49">
        <f>+G536</f>
        <v>1168.518</v>
      </c>
      <c r="F536" s="6" t="s">
        <v>136</v>
      </c>
      <c r="G536" s="49">
        <f>1168518/1000</f>
        <v>1168.518</v>
      </c>
      <c r="H536" s="49">
        <f t="shared" si="83"/>
        <v>1588.3368</v>
      </c>
      <c r="I536" s="6" t="s">
        <v>125</v>
      </c>
      <c r="J536" s="49">
        <f>1323614*1.2/1000</f>
        <v>1588.3368</v>
      </c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</row>
    <row r="537" spans="1:23" ht="42.75" x14ac:dyDescent="0.25">
      <c r="A537" s="99"/>
      <c r="B537" s="99"/>
      <c r="C537" s="99"/>
      <c r="D537" s="110"/>
      <c r="E537" s="49">
        <f>+G537</f>
        <v>94.285200000000003</v>
      </c>
      <c r="F537" s="6" t="s">
        <v>137</v>
      </c>
      <c r="G537" s="49">
        <f>94285.2/1000</f>
        <v>94.285200000000003</v>
      </c>
      <c r="H537" s="49">
        <f t="shared" si="83"/>
        <v>218.01119999999997</v>
      </c>
      <c r="I537" s="6" t="s">
        <v>126</v>
      </c>
      <c r="J537" s="49">
        <f>181676*1.2/1000</f>
        <v>218.01119999999997</v>
      </c>
    </row>
    <row r="538" spans="1:23" ht="42.75" x14ac:dyDescent="0.25">
      <c r="A538" s="99"/>
      <c r="B538" s="99"/>
      <c r="C538" s="99"/>
      <c r="D538" s="110"/>
      <c r="E538" s="49">
        <f>+G538</f>
        <v>3499.1496000000002</v>
      </c>
      <c r="F538" s="6" t="s">
        <v>157</v>
      </c>
      <c r="G538" s="49">
        <f>3499149.6/1000</f>
        <v>3499.1496000000002</v>
      </c>
      <c r="H538" s="49">
        <f t="shared" ref="H538:H546" si="85">+J538</f>
        <v>3499.1496000000002</v>
      </c>
      <c r="I538" s="6" t="s">
        <v>217</v>
      </c>
      <c r="J538" s="49">
        <f>2915958/1000*1.2</f>
        <v>3499.1496000000002</v>
      </c>
    </row>
    <row r="539" spans="1:23" ht="42.75" x14ac:dyDescent="0.25">
      <c r="A539" s="99"/>
      <c r="B539" s="99"/>
      <c r="C539" s="99"/>
      <c r="D539" s="110"/>
      <c r="E539" s="49">
        <f>G539</f>
        <v>1295.4323999999999</v>
      </c>
      <c r="F539" s="6" t="s">
        <v>238</v>
      </c>
      <c r="G539" s="49">
        <f>1295432.4/1000</f>
        <v>1295.4323999999999</v>
      </c>
      <c r="H539" s="49">
        <f t="shared" si="85"/>
        <v>1168.518</v>
      </c>
      <c r="I539" s="6" t="s">
        <v>216</v>
      </c>
      <c r="J539" s="49">
        <f>973765/1000*1.2</f>
        <v>1168.518</v>
      </c>
    </row>
    <row r="540" spans="1:23" ht="42.75" x14ac:dyDescent="0.25">
      <c r="A540" s="99"/>
      <c r="B540" s="99"/>
      <c r="C540" s="99"/>
      <c r="D540" s="110"/>
      <c r="E540" s="49">
        <f>G540</f>
        <v>662.41200000000003</v>
      </c>
      <c r="F540" s="6" t="s">
        <v>239</v>
      </c>
      <c r="G540" s="49">
        <f>662412/1000</f>
        <v>662.41200000000003</v>
      </c>
      <c r="H540" s="49">
        <f t="shared" si="85"/>
        <v>94.285199999999989</v>
      </c>
      <c r="I540" s="6" t="s">
        <v>215</v>
      </c>
      <c r="J540" s="49">
        <f>78571/1000*1.2</f>
        <v>94.285199999999989</v>
      </c>
    </row>
    <row r="541" spans="1:23" ht="42.75" x14ac:dyDescent="0.25">
      <c r="A541" s="99"/>
      <c r="B541" s="99"/>
      <c r="C541" s="99"/>
      <c r="D541" s="110"/>
      <c r="E541" s="49">
        <f>G541</f>
        <v>66.141600000000011</v>
      </c>
      <c r="F541" s="6" t="s">
        <v>240</v>
      </c>
      <c r="G541" s="49">
        <f>66141.6/1000</f>
        <v>66.141600000000011</v>
      </c>
      <c r="H541" s="49">
        <f>+J541</f>
        <v>66.141599999999997</v>
      </c>
      <c r="I541" s="6" t="s">
        <v>177</v>
      </c>
      <c r="J541" s="49">
        <f>55118*1.2/1000</f>
        <v>66.141599999999997</v>
      </c>
    </row>
    <row r="542" spans="1:23" ht="42.75" x14ac:dyDescent="0.25">
      <c r="A542" s="99"/>
      <c r="B542" s="99"/>
      <c r="C542" s="99"/>
      <c r="D542" s="110"/>
      <c r="E542" s="49">
        <f>G542</f>
        <v>79.298400000000001</v>
      </c>
      <c r="F542" s="6" t="s">
        <v>424</v>
      </c>
      <c r="G542" s="49">
        <f>79298.4/1000</f>
        <v>79.298400000000001</v>
      </c>
      <c r="H542" s="49">
        <f t="shared" si="85"/>
        <v>662.41200000000003</v>
      </c>
      <c r="I542" s="6" t="s">
        <v>178</v>
      </c>
      <c r="J542" s="49">
        <f>552010*1.2/1000</f>
        <v>662.41200000000003</v>
      </c>
    </row>
    <row r="543" spans="1:23" ht="42.75" x14ac:dyDescent="0.25">
      <c r="A543" s="99"/>
      <c r="B543" s="99"/>
      <c r="C543" s="99"/>
      <c r="D543" s="110"/>
      <c r="E543" s="49">
        <f>G543</f>
        <v>57.173999999999999</v>
      </c>
      <c r="F543" s="6" t="s">
        <v>425</v>
      </c>
      <c r="G543" s="49">
        <f>57174/1000</f>
        <v>57.173999999999999</v>
      </c>
      <c r="H543" s="49">
        <f t="shared" si="85"/>
        <v>1402.1448</v>
      </c>
      <c r="I543" s="6" t="s">
        <v>179</v>
      </c>
      <c r="J543" s="49">
        <f>1168454*1.2/1000</f>
        <v>1402.1448</v>
      </c>
    </row>
    <row r="544" spans="1:23" ht="42.75" x14ac:dyDescent="0.25">
      <c r="A544" s="99"/>
      <c r="B544" s="99"/>
      <c r="C544" s="99"/>
      <c r="D544" s="110"/>
      <c r="E544" s="49"/>
      <c r="F544" s="6"/>
      <c r="G544" s="49"/>
      <c r="H544" s="49">
        <f t="shared" si="85"/>
        <v>345.40559999999999</v>
      </c>
      <c r="I544" s="6" t="s">
        <v>180</v>
      </c>
      <c r="J544" s="49">
        <f>287838/1000*1.2</f>
        <v>345.40559999999999</v>
      </c>
    </row>
    <row r="545" spans="1:10" ht="28.5" x14ac:dyDescent="0.25">
      <c r="A545" s="99"/>
      <c r="B545" s="99"/>
      <c r="C545" s="99"/>
      <c r="D545" s="110"/>
      <c r="E545" s="49"/>
      <c r="F545" s="6"/>
      <c r="G545" s="49"/>
      <c r="H545" s="49">
        <f t="shared" si="85"/>
        <v>79.298400000000001</v>
      </c>
      <c r="I545" s="6" t="s">
        <v>334</v>
      </c>
      <c r="J545" s="49">
        <f>66082*1.2/1000</f>
        <v>79.298400000000001</v>
      </c>
    </row>
    <row r="546" spans="1:10" ht="28.5" x14ac:dyDescent="0.25">
      <c r="A546" s="99"/>
      <c r="B546" s="99"/>
      <c r="C546" s="99"/>
      <c r="D546" s="110"/>
      <c r="E546" s="49"/>
      <c r="F546" s="6"/>
      <c r="G546" s="49"/>
      <c r="H546" s="49">
        <f t="shared" si="85"/>
        <v>57.173999999999999</v>
      </c>
      <c r="I546" s="6" t="s">
        <v>335</v>
      </c>
      <c r="J546" s="49">
        <f>47645*1.2/1000</f>
        <v>57.173999999999999</v>
      </c>
    </row>
    <row r="547" spans="1:10" ht="28.5" x14ac:dyDescent="0.25">
      <c r="A547" s="99"/>
      <c r="B547" s="99"/>
      <c r="C547" s="94"/>
      <c r="D547" s="111"/>
      <c r="E547" s="49"/>
      <c r="F547" s="6"/>
      <c r="G547" s="49"/>
      <c r="H547" s="49">
        <f t="shared" ref="H547" si="86">J547</f>
        <v>184.48439999999999</v>
      </c>
      <c r="I547" s="25" t="s">
        <v>497</v>
      </c>
      <c r="J547" s="49">
        <f>153737*1.2/1000</f>
        <v>184.48439999999999</v>
      </c>
    </row>
    <row r="548" spans="1:10" x14ac:dyDescent="0.25">
      <c r="A548" s="99"/>
      <c r="B548" s="94"/>
      <c r="C548" s="106" t="s">
        <v>448</v>
      </c>
      <c r="D548" s="107"/>
      <c r="E548" s="49">
        <f t="shared" ref="E548:E550" si="87">G548</f>
        <v>1983.1001200000001</v>
      </c>
      <c r="F548" s="6" t="s">
        <v>449</v>
      </c>
      <c r="G548" s="49">
        <f>1983100.12/1000</f>
        <v>1983.1001200000001</v>
      </c>
      <c r="H548" s="49"/>
      <c r="I548" s="6"/>
      <c r="J548" s="49"/>
    </row>
    <row r="549" spans="1:10" ht="42.75" x14ac:dyDescent="0.25">
      <c r="A549" s="99"/>
      <c r="B549" s="93" t="s">
        <v>37</v>
      </c>
      <c r="C549" s="93" t="s">
        <v>370</v>
      </c>
      <c r="D549" s="109">
        <f>74800000/1000</f>
        <v>74800</v>
      </c>
      <c r="E549" s="49">
        <f t="shared" si="87"/>
        <v>2656.2287999999999</v>
      </c>
      <c r="F549" s="6" t="s">
        <v>274</v>
      </c>
      <c r="G549" s="49">
        <f>2656228.8/1000</f>
        <v>2656.2287999999999</v>
      </c>
      <c r="H549" s="49">
        <f t="shared" ref="H549:H563" si="88">J549</f>
        <v>2656.2287999999999</v>
      </c>
      <c r="I549" s="6" t="s">
        <v>297</v>
      </c>
      <c r="J549" s="49">
        <f>2213524*1.2/1000</f>
        <v>2656.2287999999999</v>
      </c>
    </row>
    <row r="550" spans="1:10" ht="42.75" x14ac:dyDescent="0.25">
      <c r="A550" s="99"/>
      <c r="B550" s="99"/>
      <c r="C550" s="99"/>
      <c r="D550" s="110"/>
      <c r="E550" s="49">
        <f t="shared" si="87"/>
        <v>2500</v>
      </c>
      <c r="F550" s="6" t="s">
        <v>281</v>
      </c>
      <c r="G550" s="49">
        <f>2500000/1000</f>
        <v>2500</v>
      </c>
      <c r="H550" s="49">
        <f t="shared" si="88"/>
        <v>3816.0635999999995</v>
      </c>
      <c r="I550" s="6" t="s">
        <v>301</v>
      </c>
      <c r="J550" s="49">
        <f>3180053*1.2/1000</f>
        <v>3816.0635999999995</v>
      </c>
    </row>
    <row r="551" spans="1:10" ht="42.75" x14ac:dyDescent="0.25">
      <c r="A551" s="99"/>
      <c r="B551" s="99"/>
      <c r="C551" s="99"/>
      <c r="D551" s="110"/>
      <c r="E551" s="49">
        <f>G551</f>
        <v>7000</v>
      </c>
      <c r="F551" s="6" t="s">
        <v>236</v>
      </c>
      <c r="G551" s="49">
        <f>7000000/1000</f>
        <v>7000</v>
      </c>
      <c r="H551" s="49">
        <f t="shared" si="88"/>
        <v>5836.2168000000001</v>
      </c>
      <c r="I551" s="25" t="s">
        <v>305</v>
      </c>
      <c r="J551" s="49">
        <f>4863514/1000*1.2</f>
        <v>5836.2168000000001</v>
      </c>
    </row>
    <row r="552" spans="1:10" ht="42.75" x14ac:dyDescent="0.25">
      <c r="A552" s="99"/>
      <c r="B552" s="99"/>
      <c r="C552" s="99"/>
      <c r="D552" s="110"/>
      <c r="E552" s="49">
        <f>G552</f>
        <v>3000</v>
      </c>
      <c r="F552" s="6" t="s">
        <v>237</v>
      </c>
      <c r="G552" s="49">
        <f>3000000/1000</f>
        <v>3000</v>
      </c>
      <c r="H552" s="49">
        <f t="shared" si="88"/>
        <v>122.8788</v>
      </c>
      <c r="I552" s="25" t="s">
        <v>306</v>
      </c>
      <c r="J552" s="49">
        <f>102399/1000*1.2</f>
        <v>122.8788</v>
      </c>
    </row>
    <row r="553" spans="1:10" ht="28.5" x14ac:dyDescent="0.25">
      <c r="A553" s="99"/>
      <c r="B553" s="99"/>
      <c r="C553" s="99"/>
      <c r="D553" s="110"/>
      <c r="E553" s="49">
        <f t="shared" ref="E553:E557" si="89">G553</f>
        <v>10836.759599999999</v>
      </c>
      <c r="F553" s="6" t="s">
        <v>410</v>
      </c>
      <c r="G553" s="49">
        <f>10836759.6/1000</f>
        <v>10836.759599999999</v>
      </c>
      <c r="H553" s="49">
        <f t="shared" si="88"/>
        <v>10836.759599999999</v>
      </c>
      <c r="I553" s="25" t="s">
        <v>371</v>
      </c>
      <c r="J553" s="49">
        <f>9030633*1.2/1000</f>
        <v>10836.759599999999</v>
      </c>
    </row>
    <row r="554" spans="1:10" ht="28.5" x14ac:dyDescent="0.25">
      <c r="A554" s="99"/>
      <c r="B554" s="99"/>
      <c r="C554" s="99"/>
      <c r="D554" s="110"/>
      <c r="E554" s="49">
        <f t="shared" si="89"/>
        <v>3397.8492000000001</v>
      </c>
      <c r="F554" s="6" t="s">
        <v>411</v>
      </c>
      <c r="G554" s="49">
        <f>3397849.2/1000</f>
        <v>3397.8492000000001</v>
      </c>
      <c r="H554" s="49">
        <f t="shared" si="88"/>
        <v>3397.8491999999997</v>
      </c>
      <c r="I554" s="25" t="s">
        <v>372</v>
      </c>
      <c r="J554" s="49">
        <f>2831541*1.2/1000</f>
        <v>3397.8491999999997</v>
      </c>
    </row>
    <row r="555" spans="1:10" ht="28.5" x14ac:dyDescent="0.25">
      <c r="A555" s="99"/>
      <c r="B555" s="99"/>
      <c r="C555" s="99"/>
      <c r="D555" s="110"/>
      <c r="E555" s="49">
        <f t="shared" si="89"/>
        <v>6292.5479999999998</v>
      </c>
      <c r="F555" s="6" t="s">
        <v>416</v>
      </c>
      <c r="G555" s="49">
        <f>6292548/1000</f>
        <v>6292.5479999999998</v>
      </c>
      <c r="H555" s="49">
        <f t="shared" si="88"/>
        <v>1532.3904</v>
      </c>
      <c r="I555" s="25" t="s">
        <v>373</v>
      </c>
      <c r="J555" s="49">
        <f>1276992*1.2/1000</f>
        <v>1532.3904</v>
      </c>
    </row>
    <row r="556" spans="1:10" ht="28.5" x14ac:dyDescent="0.25">
      <c r="A556" s="99"/>
      <c r="B556" s="99"/>
      <c r="C556" s="99"/>
      <c r="D556" s="110"/>
      <c r="E556" s="49">
        <f t="shared" si="89"/>
        <v>1532.3904</v>
      </c>
      <c r="F556" s="6" t="s">
        <v>417</v>
      </c>
      <c r="G556" s="49">
        <f>1532390.4/1000</f>
        <v>1532.3904</v>
      </c>
      <c r="H556" s="49">
        <f t="shared" si="88"/>
        <v>6292.5479999999998</v>
      </c>
      <c r="I556" s="25" t="s">
        <v>375</v>
      </c>
      <c r="J556" s="49">
        <f>5243790*1.2/1000</f>
        <v>6292.5479999999998</v>
      </c>
    </row>
    <row r="557" spans="1:10" ht="28.5" x14ac:dyDescent="0.25">
      <c r="A557" s="99"/>
      <c r="B557" s="99"/>
      <c r="C557" s="99"/>
      <c r="D557" s="110"/>
      <c r="E557" s="49">
        <f t="shared" si="89"/>
        <v>11642.890800000001</v>
      </c>
      <c r="F557" s="6" t="s">
        <v>439</v>
      </c>
      <c r="G557" s="49">
        <f>11642890.8/1000</f>
        <v>11642.890800000001</v>
      </c>
      <c r="H557" s="49">
        <f t="shared" si="88"/>
        <v>11642.890799999999</v>
      </c>
      <c r="I557" s="25" t="s">
        <v>493</v>
      </c>
      <c r="J557" s="49">
        <f>9702409*1.2/1000</f>
        <v>11642.890799999999</v>
      </c>
    </row>
    <row r="558" spans="1:10" ht="28.5" x14ac:dyDescent="0.25">
      <c r="A558" s="99"/>
      <c r="B558" s="99"/>
      <c r="C558" s="99"/>
      <c r="D558" s="110"/>
      <c r="E558" s="49"/>
      <c r="F558" s="6"/>
      <c r="G558" s="49"/>
      <c r="H558" s="49">
        <f t="shared" si="88"/>
        <v>2288.4803999999999</v>
      </c>
      <c r="I558" s="25" t="s">
        <v>495</v>
      </c>
      <c r="J558" s="49">
        <f>1907067*1.2/1000</f>
        <v>2288.4803999999999</v>
      </c>
    </row>
    <row r="559" spans="1:10" ht="28.5" x14ac:dyDescent="0.25">
      <c r="A559" s="99"/>
      <c r="B559" s="99"/>
      <c r="C559" s="99"/>
      <c r="D559" s="110"/>
      <c r="E559" s="49"/>
      <c r="F559" s="6"/>
      <c r="G559" s="49"/>
      <c r="H559" s="49">
        <f t="shared" si="88"/>
        <v>46.14</v>
      </c>
      <c r="I559" s="25" t="s">
        <v>496</v>
      </c>
      <c r="J559" s="49">
        <f>38450*1.2/1000</f>
        <v>46.14</v>
      </c>
    </row>
    <row r="560" spans="1:10" ht="28.5" x14ac:dyDescent="0.25">
      <c r="A560" s="99"/>
      <c r="B560" s="99"/>
      <c r="C560" s="99"/>
      <c r="D560" s="110"/>
      <c r="E560" s="49"/>
      <c r="F560" s="6"/>
      <c r="G560" s="49"/>
      <c r="H560" s="49">
        <f t="shared" si="88"/>
        <v>11773.182000000001</v>
      </c>
      <c r="I560" s="25" t="s">
        <v>502</v>
      </c>
      <c r="J560" s="49">
        <f>9810985*1.2/1000</f>
        <v>11773.182000000001</v>
      </c>
    </row>
    <row r="561" spans="1:10" ht="28.5" x14ac:dyDescent="0.25">
      <c r="A561" s="99"/>
      <c r="B561" s="94"/>
      <c r="C561" s="94"/>
      <c r="D561" s="111"/>
      <c r="E561" s="49"/>
      <c r="F561" s="6"/>
      <c r="G561" s="49"/>
      <c r="H561" s="49">
        <f t="shared" si="88"/>
        <v>9640.1939999999995</v>
      </c>
      <c r="I561" s="25" t="s">
        <v>503</v>
      </c>
      <c r="J561" s="49">
        <f>8033495*1.2/1000</f>
        <v>9640.1939999999995</v>
      </c>
    </row>
    <row r="562" spans="1:10" ht="71.25" x14ac:dyDescent="0.25">
      <c r="A562" s="99"/>
      <c r="B562" s="93" t="s">
        <v>102</v>
      </c>
      <c r="C562" s="93" t="s">
        <v>103</v>
      </c>
      <c r="D562" s="103">
        <f>3867545.75/1000</f>
        <v>3867.5457500000002</v>
      </c>
      <c r="E562" s="49">
        <f>G562</f>
        <v>3074.29261</v>
      </c>
      <c r="F562" s="6" t="s">
        <v>108</v>
      </c>
      <c r="G562" s="49">
        <f>3074292.61/1000</f>
        <v>3074.29261</v>
      </c>
      <c r="H562" s="49">
        <f t="shared" si="88"/>
        <v>3074.29261</v>
      </c>
      <c r="I562" s="6" t="s">
        <v>124</v>
      </c>
      <c r="J562" s="49">
        <f>3074292.61/1000</f>
        <v>3074.29261</v>
      </c>
    </row>
    <row r="563" spans="1:10" ht="28.5" x14ac:dyDescent="0.25">
      <c r="A563" s="99"/>
      <c r="B563" s="99"/>
      <c r="C563" s="94"/>
      <c r="D563" s="105"/>
      <c r="E563" s="49">
        <f>G563</f>
        <v>434.03876000000002</v>
      </c>
      <c r="F563" s="6" t="s">
        <v>436</v>
      </c>
      <c r="G563" s="49">
        <f>434038.76/1000</f>
        <v>434.03876000000002</v>
      </c>
      <c r="H563" s="49">
        <f t="shared" si="88"/>
        <v>434.03876000000002</v>
      </c>
      <c r="I563" s="6" t="s">
        <v>490</v>
      </c>
      <c r="J563" s="49">
        <f>434038.76/1000</f>
        <v>434.03876000000002</v>
      </c>
    </row>
    <row r="564" spans="1:10" ht="71.25" x14ac:dyDescent="0.25">
      <c r="A564" s="99"/>
      <c r="B564" s="94"/>
      <c r="C564" s="42" t="s">
        <v>509</v>
      </c>
      <c r="D564" s="45">
        <v>820</v>
      </c>
      <c r="E564" s="49">
        <f>G564</f>
        <v>668.03140000000008</v>
      </c>
      <c r="F564" s="6" t="s">
        <v>422</v>
      </c>
      <c r="G564" s="49">
        <f>668031.4/1000</f>
        <v>668.03140000000008</v>
      </c>
      <c r="H564" s="49">
        <f>J564</f>
        <v>668.03140000000008</v>
      </c>
      <c r="I564" s="6" t="s">
        <v>376</v>
      </c>
      <c r="J564" s="49">
        <f>668031.4/1000</f>
        <v>668.03140000000008</v>
      </c>
    </row>
    <row r="565" spans="1:10" ht="42.75" x14ac:dyDescent="0.25">
      <c r="A565" s="99"/>
      <c r="B565" s="48" t="s">
        <v>138</v>
      </c>
      <c r="C565" s="48" t="s">
        <v>139</v>
      </c>
      <c r="D565" s="53">
        <f>27935192.72/1000</f>
        <v>27935.192719999999</v>
      </c>
      <c r="E565" s="49">
        <f>+G565</f>
        <v>3157.7472000000002</v>
      </c>
      <c r="F565" s="6" t="s">
        <v>140</v>
      </c>
      <c r="G565" s="49">
        <f>3157747.2/1000</f>
        <v>3157.7472000000002</v>
      </c>
      <c r="H565" s="49"/>
      <c r="I565" s="6"/>
      <c r="J565" s="49"/>
    </row>
    <row r="566" spans="1:10" ht="28.5" x14ac:dyDescent="0.25">
      <c r="A566" s="99"/>
      <c r="B566" s="93" t="s">
        <v>164</v>
      </c>
      <c r="C566" s="93" t="s">
        <v>165</v>
      </c>
      <c r="D566" s="103">
        <v>623.70000000000005</v>
      </c>
      <c r="E566" s="49"/>
      <c r="F566" s="6"/>
      <c r="G566" s="49"/>
      <c r="H566" s="49">
        <f>+J566</f>
        <v>39.131399999999999</v>
      </c>
      <c r="I566" s="6" t="s">
        <v>181</v>
      </c>
      <c r="J566" s="49">
        <f>39131.4/1000</f>
        <v>39.131399999999999</v>
      </c>
    </row>
    <row r="567" spans="1:10" ht="28.5" x14ac:dyDescent="0.25">
      <c r="A567" s="99"/>
      <c r="B567" s="99"/>
      <c r="C567" s="99"/>
      <c r="D567" s="104"/>
      <c r="E567" s="49"/>
      <c r="F567" s="6"/>
      <c r="G567" s="49"/>
      <c r="H567" s="49">
        <f>+J567</f>
        <v>18.72944</v>
      </c>
      <c r="I567" s="6" t="s">
        <v>366</v>
      </c>
      <c r="J567" s="49">
        <f>18729.44/1000</f>
        <v>18.72944</v>
      </c>
    </row>
    <row r="568" spans="1:10" ht="28.5" x14ac:dyDescent="0.25">
      <c r="A568" s="99"/>
      <c r="B568" s="94"/>
      <c r="C568" s="94"/>
      <c r="D568" s="105"/>
      <c r="E568" s="49"/>
      <c r="F568" s="6"/>
      <c r="G568" s="49"/>
      <c r="H568" s="49">
        <f>+J568</f>
        <v>36.117599999999996</v>
      </c>
      <c r="I568" s="6" t="s">
        <v>498</v>
      </c>
      <c r="J568" s="49">
        <f>36117.6/1000</f>
        <v>36.117599999999996</v>
      </c>
    </row>
    <row r="569" spans="1:10" ht="42.75" x14ac:dyDescent="0.25">
      <c r="A569" s="99"/>
      <c r="B569" s="93" t="s">
        <v>226</v>
      </c>
      <c r="C569" s="89" t="s">
        <v>247</v>
      </c>
      <c r="D569" s="119">
        <f>67504557.1/1000</f>
        <v>67504.557099999991</v>
      </c>
      <c r="E569" s="49">
        <f>G569</f>
        <v>2562.2477799999997</v>
      </c>
      <c r="F569" s="6" t="s">
        <v>235</v>
      </c>
      <c r="G569" s="49">
        <f>2562247.78/1000</f>
        <v>2562.2477799999997</v>
      </c>
      <c r="H569" s="49">
        <f>J569</f>
        <v>2601.5916000000002</v>
      </c>
      <c r="I569" s="6" t="s">
        <v>296</v>
      </c>
      <c r="J569" s="49">
        <f>2167993*1.2/1000</f>
        <v>2601.5916000000002</v>
      </c>
    </row>
    <row r="570" spans="1:10" ht="42.75" x14ac:dyDescent="0.25">
      <c r="A570" s="99"/>
      <c r="B570" s="99"/>
      <c r="C570" s="89"/>
      <c r="D570" s="120"/>
      <c r="E570" s="49">
        <f>G570</f>
        <v>39.343820000000001</v>
      </c>
      <c r="F570" s="6" t="s">
        <v>279</v>
      </c>
      <c r="G570" s="49">
        <f>39343.82/1000</f>
        <v>39.343820000000001</v>
      </c>
      <c r="H570" s="49">
        <f t="shared" ref="H570:H590" si="90">J570</f>
        <v>3409.6776</v>
      </c>
      <c r="I570" s="6" t="s">
        <v>295</v>
      </c>
      <c r="J570" s="49">
        <f>2841398*1.2/1000</f>
        <v>3409.6776</v>
      </c>
    </row>
    <row r="571" spans="1:10" ht="42.75" x14ac:dyDescent="0.25">
      <c r="A571" s="99"/>
      <c r="B571" s="99"/>
      <c r="C571" s="89"/>
      <c r="D571" s="120"/>
      <c r="E571" s="49">
        <f>G571</f>
        <v>3058.386</v>
      </c>
      <c r="F571" s="6" t="s">
        <v>280</v>
      </c>
      <c r="G571" s="49">
        <f>3058386/1000</f>
        <v>3058.386</v>
      </c>
      <c r="H571" s="49">
        <f t="shared" si="90"/>
        <v>2486.2236000000003</v>
      </c>
      <c r="I571" s="6" t="s">
        <v>299</v>
      </c>
      <c r="J571" s="49">
        <f>2071853*1.2/1000</f>
        <v>2486.2236000000003</v>
      </c>
    </row>
    <row r="572" spans="1:10" ht="42.75" x14ac:dyDescent="0.25">
      <c r="A572" s="99"/>
      <c r="B572" s="99"/>
      <c r="C572" s="89"/>
      <c r="D572" s="120"/>
      <c r="E572" s="49">
        <f>G572</f>
        <v>3409.6776</v>
      </c>
      <c r="F572" s="6" t="s">
        <v>339</v>
      </c>
      <c r="G572" s="49">
        <f>3409677.6/1000</f>
        <v>3409.6776</v>
      </c>
      <c r="H572" s="49">
        <f t="shared" si="90"/>
        <v>572.16240000000005</v>
      </c>
      <c r="I572" s="6" t="s">
        <v>298</v>
      </c>
      <c r="J572" s="49">
        <f>476802*1.2/1000</f>
        <v>572.16240000000005</v>
      </c>
    </row>
    <row r="573" spans="1:10" ht="42.75" x14ac:dyDescent="0.25">
      <c r="A573" s="99"/>
      <c r="B573" s="99"/>
      <c r="C573" s="89"/>
      <c r="D573" s="120"/>
      <c r="E573" s="49">
        <f>G573</f>
        <v>3000</v>
      </c>
      <c r="F573" s="6" t="s">
        <v>353</v>
      </c>
      <c r="G573" s="49">
        <f>3000000/1000</f>
        <v>3000</v>
      </c>
      <c r="H573" s="49">
        <f t="shared" si="90"/>
        <v>9341.2139999999999</v>
      </c>
      <c r="I573" s="25" t="s">
        <v>307</v>
      </c>
      <c r="J573" s="49">
        <f>7784345/1000*1.2</f>
        <v>9341.2139999999999</v>
      </c>
    </row>
    <row r="574" spans="1:10" ht="42.75" x14ac:dyDescent="0.25">
      <c r="A574" s="99"/>
      <c r="B574" s="99"/>
      <c r="C574" s="89"/>
      <c r="D574" s="120"/>
      <c r="E574" s="49">
        <f t="shared" ref="E574" si="91">G574</f>
        <v>8500</v>
      </c>
      <c r="F574" s="6" t="s">
        <v>391</v>
      </c>
      <c r="G574" s="49">
        <f>8500000/1000</f>
        <v>8500</v>
      </c>
      <c r="H574" s="49">
        <f t="shared" si="90"/>
        <v>1070.4947999999999</v>
      </c>
      <c r="I574" s="6" t="s">
        <v>308</v>
      </c>
      <c r="J574" s="49">
        <f>892079/1000*1.2</f>
        <v>1070.4947999999999</v>
      </c>
    </row>
    <row r="575" spans="1:10" ht="57" x14ac:dyDescent="0.25">
      <c r="A575" s="99"/>
      <c r="B575" s="99"/>
      <c r="C575" s="89"/>
      <c r="D575" s="120"/>
      <c r="E575" s="49">
        <f>G575</f>
        <v>7000</v>
      </c>
      <c r="F575" s="6" t="s">
        <v>406</v>
      </c>
      <c r="G575" s="49">
        <f>7000000/1000</f>
        <v>7000</v>
      </c>
      <c r="H575" s="49">
        <f t="shared" si="90"/>
        <v>5046.1415999999999</v>
      </c>
      <c r="I575" s="6" t="s">
        <v>329</v>
      </c>
      <c r="J575" s="49">
        <f>4205118*1.2/1000</f>
        <v>5046.1415999999999</v>
      </c>
    </row>
    <row r="576" spans="1:10" ht="57" x14ac:dyDescent="0.25">
      <c r="A576" s="99"/>
      <c r="B576" s="99"/>
      <c r="C576" s="89"/>
      <c r="D576" s="120"/>
      <c r="E576" s="49">
        <f t="shared" ref="E576:E577" si="92">G576</f>
        <v>2527.1403999999998</v>
      </c>
      <c r="F576" s="6" t="s">
        <v>415</v>
      </c>
      <c r="G576" s="49">
        <f>2527140.4/1000</f>
        <v>2527.1403999999998</v>
      </c>
      <c r="H576" s="49">
        <f t="shared" si="90"/>
        <v>5569.29</v>
      </c>
      <c r="I576" s="6" t="s">
        <v>330</v>
      </c>
      <c r="J576" s="49">
        <f>4641075*1.2/1000</f>
        <v>5569.29</v>
      </c>
    </row>
    <row r="577" spans="1:10" ht="57" x14ac:dyDescent="0.25">
      <c r="A577" s="99"/>
      <c r="B577" s="99"/>
      <c r="C577" s="89"/>
      <c r="D577" s="120"/>
      <c r="E577" s="49">
        <f t="shared" si="92"/>
        <v>4836.6684000000005</v>
      </c>
      <c r="F577" s="6" t="s">
        <v>438</v>
      </c>
      <c r="G577" s="49">
        <f>4836668.4/1000</f>
        <v>4836.6684000000005</v>
      </c>
      <c r="H577" s="49">
        <f t="shared" si="90"/>
        <v>4836.6683999999996</v>
      </c>
      <c r="I577" s="6" t="s">
        <v>368</v>
      </c>
      <c r="J577" s="49">
        <f>4030557*1.2/1000</f>
        <v>4836.6683999999996</v>
      </c>
    </row>
    <row r="578" spans="1:10" ht="57" x14ac:dyDescent="0.25">
      <c r="A578" s="99"/>
      <c r="B578" s="99"/>
      <c r="C578" s="89"/>
      <c r="D578" s="120"/>
      <c r="E578" s="49"/>
      <c r="F578" s="6"/>
      <c r="G578" s="49"/>
      <c r="H578" s="49">
        <f t="shared" si="90"/>
        <v>2388.4344000000001</v>
      </c>
      <c r="I578" s="6" t="s">
        <v>494</v>
      </c>
      <c r="J578" s="49">
        <f>1990362*1.2/1000</f>
        <v>2388.4344000000001</v>
      </c>
    </row>
    <row r="579" spans="1:10" ht="57" x14ac:dyDescent="0.25">
      <c r="A579" s="99"/>
      <c r="B579" s="99"/>
      <c r="C579" s="89"/>
      <c r="D579" s="120"/>
      <c r="E579" s="24"/>
      <c r="F579" s="24"/>
      <c r="G579" s="24"/>
      <c r="H579" s="49">
        <f t="shared" si="90"/>
        <v>21662.510399999999</v>
      </c>
      <c r="I579" s="6" t="s">
        <v>499</v>
      </c>
      <c r="J579" s="49">
        <f>18052092*1.2/1000</f>
        <v>21662.510399999999</v>
      </c>
    </row>
    <row r="580" spans="1:10" ht="28.5" x14ac:dyDescent="0.25">
      <c r="A580" s="99"/>
      <c r="B580" s="99"/>
      <c r="C580" s="89"/>
      <c r="D580" s="121"/>
      <c r="E580" s="24"/>
      <c r="F580" s="24"/>
      <c r="G580" s="24"/>
      <c r="H580" s="49">
        <f t="shared" si="90"/>
        <v>2013.9695999999999</v>
      </c>
      <c r="I580" s="6" t="s">
        <v>501</v>
      </c>
      <c r="J580" s="49">
        <f>1678308*1.2/1000</f>
        <v>2013.9695999999999</v>
      </c>
    </row>
    <row r="581" spans="1:10" x14ac:dyDescent="0.25">
      <c r="A581" s="99"/>
      <c r="B581" s="99"/>
      <c r="C581" s="106" t="s">
        <v>448</v>
      </c>
      <c r="D581" s="107"/>
      <c r="E581" s="49">
        <f t="shared" ref="E581" si="93">G581</f>
        <v>800</v>
      </c>
      <c r="F581" s="6" t="s">
        <v>449</v>
      </c>
      <c r="G581" s="49">
        <f>800000/1000</f>
        <v>800</v>
      </c>
      <c r="H581" s="49"/>
      <c r="I581" s="6"/>
      <c r="J581" s="49"/>
    </row>
    <row r="582" spans="1:10" ht="42.75" customHeight="1" x14ac:dyDescent="0.25">
      <c r="A582" s="99"/>
      <c r="B582" s="99"/>
      <c r="C582" s="93" t="s">
        <v>434</v>
      </c>
      <c r="D582" s="103"/>
      <c r="E582" s="49">
        <f t="shared" ref="E582" si="94">G582</f>
        <v>15000</v>
      </c>
      <c r="F582" s="6" t="s">
        <v>435</v>
      </c>
      <c r="G582" s="49">
        <f>15000000/1000</f>
        <v>15000</v>
      </c>
      <c r="H582" s="49">
        <f t="shared" si="90"/>
        <v>10401.475199999999</v>
      </c>
      <c r="I582" s="6" t="s">
        <v>504</v>
      </c>
      <c r="J582" s="49">
        <f>8667896*1.2/1000</f>
        <v>10401.475199999999</v>
      </c>
    </row>
    <row r="583" spans="1:10" ht="28.5" x14ac:dyDescent="0.25">
      <c r="A583" s="99"/>
      <c r="B583" s="94"/>
      <c r="C583" s="94"/>
      <c r="D583" s="105"/>
      <c r="E583" s="49"/>
      <c r="F583" s="6"/>
      <c r="G583" s="49"/>
      <c r="H583" s="49">
        <f t="shared" si="90"/>
        <v>15306.914399999998</v>
      </c>
      <c r="I583" s="6" t="s">
        <v>505</v>
      </c>
      <c r="J583" s="49">
        <f>12755762*1.2/1000</f>
        <v>15306.914399999998</v>
      </c>
    </row>
    <row r="584" spans="1:10" ht="42.75" x14ac:dyDescent="0.25">
      <c r="A584" s="99"/>
      <c r="B584" s="93" t="s">
        <v>252</v>
      </c>
      <c r="C584" s="93" t="s">
        <v>253</v>
      </c>
      <c r="D584" s="103">
        <f>42839136/1000</f>
        <v>42839.135999999999</v>
      </c>
      <c r="E584" s="49">
        <f t="shared" ref="E584:E587" si="95">G584</f>
        <v>1006.5744</v>
      </c>
      <c r="F584" s="6" t="s">
        <v>282</v>
      </c>
      <c r="G584" s="49">
        <f>1006574.4/1000</f>
        <v>1006.5744</v>
      </c>
      <c r="H584" s="49">
        <f t="shared" si="90"/>
        <v>1006.5743999999999</v>
      </c>
      <c r="I584" s="6" t="s">
        <v>300</v>
      </c>
      <c r="J584" s="49">
        <f>838812*1.2/1000</f>
        <v>1006.5743999999999</v>
      </c>
    </row>
    <row r="585" spans="1:10" ht="42.75" x14ac:dyDescent="0.25">
      <c r="A585" s="99"/>
      <c r="B585" s="99"/>
      <c r="C585" s="99"/>
      <c r="D585" s="104"/>
      <c r="E585" s="49">
        <f t="shared" si="95"/>
        <v>501.99</v>
      </c>
      <c r="F585" s="6" t="s">
        <v>343</v>
      </c>
      <c r="G585" s="49">
        <f>501990/1000</f>
        <v>501.99</v>
      </c>
      <c r="H585" s="49">
        <f t="shared" si="90"/>
        <v>501.99</v>
      </c>
      <c r="I585" s="6" t="s">
        <v>301</v>
      </c>
      <c r="J585" s="49">
        <f>418325*1.2/1000</f>
        <v>501.99</v>
      </c>
    </row>
    <row r="586" spans="1:10" ht="42.75" x14ac:dyDescent="0.25">
      <c r="A586" s="99"/>
      <c r="B586" s="99"/>
      <c r="C586" s="99"/>
      <c r="D586" s="104"/>
      <c r="E586" s="49">
        <f t="shared" si="95"/>
        <v>264.20999999999998</v>
      </c>
      <c r="F586" s="6" t="s">
        <v>428</v>
      </c>
      <c r="G586" s="49">
        <f>264210/1000</f>
        <v>264.20999999999998</v>
      </c>
      <c r="H586" s="49">
        <f t="shared" si="90"/>
        <v>21111.0612</v>
      </c>
      <c r="I586" s="25" t="s">
        <v>305</v>
      </c>
      <c r="J586" s="49">
        <f>17592551/1000*1.2</f>
        <v>21111.0612</v>
      </c>
    </row>
    <row r="587" spans="1:10" ht="42.75" x14ac:dyDescent="0.25">
      <c r="A587" s="99"/>
      <c r="B587" s="99"/>
      <c r="C587" s="99"/>
      <c r="D587" s="104"/>
      <c r="E587" s="49">
        <f t="shared" si="95"/>
        <v>8172.1692000000003</v>
      </c>
      <c r="F587" s="6" t="s">
        <v>429</v>
      </c>
      <c r="G587" s="49">
        <f>8172169.2/1000</f>
        <v>8172.1692000000003</v>
      </c>
      <c r="H587" s="49">
        <f t="shared" si="90"/>
        <v>766.17071999999996</v>
      </c>
      <c r="I587" s="25" t="s">
        <v>306</v>
      </c>
      <c r="J587" s="49">
        <f>638475.6/1000*1.2</f>
        <v>766.17071999999996</v>
      </c>
    </row>
    <row r="588" spans="1:10" ht="28.5" x14ac:dyDescent="0.25">
      <c r="A588" s="99"/>
      <c r="B588" s="99"/>
      <c r="C588" s="99"/>
      <c r="D588" s="104"/>
      <c r="E588" s="49"/>
      <c r="F588" s="6"/>
      <c r="G588" s="49"/>
      <c r="H588" s="49">
        <f t="shared" si="90"/>
        <v>8172.1691999999994</v>
      </c>
      <c r="I588" s="25" t="s">
        <v>337</v>
      </c>
      <c r="J588" s="49">
        <f>6810141*1.2/1000</f>
        <v>8172.1691999999994</v>
      </c>
    </row>
    <row r="589" spans="1:10" ht="28.5" x14ac:dyDescent="0.25">
      <c r="A589" s="99"/>
      <c r="B589" s="99"/>
      <c r="C589" s="99"/>
      <c r="D589" s="104"/>
      <c r="E589" s="49"/>
      <c r="F589" s="6"/>
      <c r="G589" s="49"/>
      <c r="H589" s="49">
        <f t="shared" si="90"/>
        <v>264.20999999999998</v>
      </c>
      <c r="I589" s="25" t="s">
        <v>338</v>
      </c>
      <c r="J589" s="49">
        <f>220175*1.2/1000</f>
        <v>264.20999999999998</v>
      </c>
    </row>
    <row r="590" spans="1:10" ht="28.5" x14ac:dyDescent="0.25">
      <c r="A590" s="99"/>
      <c r="B590" s="94"/>
      <c r="C590" s="94"/>
      <c r="D590" s="105"/>
      <c r="E590" s="49"/>
      <c r="F590" s="6"/>
      <c r="G590" s="49"/>
      <c r="H590" s="49">
        <f t="shared" si="90"/>
        <v>7053.3527999999997</v>
      </c>
      <c r="I590" s="25" t="s">
        <v>500</v>
      </c>
      <c r="J590" s="49">
        <f>5877794*1.2/1000</f>
        <v>7053.3527999999997</v>
      </c>
    </row>
    <row r="591" spans="1:10" ht="28.5" x14ac:dyDescent="0.25">
      <c r="A591" s="99"/>
      <c r="B591" s="93" t="s">
        <v>104</v>
      </c>
      <c r="C591" s="93" t="s">
        <v>105</v>
      </c>
      <c r="D591" s="93"/>
      <c r="E591" s="49">
        <f t="shared" ref="E591:E592" si="96">G591</f>
        <v>1380.5670700000001</v>
      </c>
      <c r="F591" s="6" t="s">
        <v>241</v>
      </c>
      <c r="G591" s="49">
        <f>1380567.07/1000</f>
        <v>1380.5670700000001</v>
      </c>
      <c r="H591" s="49"/>
      <c r="I591" s="49"/>
      <c r="J591" s="49"/>
    </row>
    <row r="592" spans="1:10" ht="28.5" x14ac:dyDescent="0.25">
      <c r="A592" s="99"/>
      <c r="B592" s="99"/>
      <c r="C592" s="99"/>
      <c r="D592" s="99"/>
      <c r="E592" s="49">
        <f t="shared" si="96"/>
        <v>27.396619999999999</v>
      </c>
      <c r="F592" s="6" t="s">
        <v>249</v>
      </c>
      <c r="G592" s="49">
        <f>27396.62/1000</f>
        <v>27.396619999999999</v>
      </c>
      <c r="H592" s="49"/>
      <c r="I592" s="49"/>
      <c r="J592" s="49"/>
    </row>
    <row r="593" spans="1:10" ht="28.5" x14ac:dyDescent="0.25">
      <c r="A593" s="99"/>
      <c r="B593" s="99"/>
      <c r="C593" s="99"/>
      <c r="D593" s="99"/>
      <c r="E593" s="49">
        <f t="shared" ref="E593:E614" si="97">G593</f>
        <v>604.85254000000009</v>
      </c>
      <c r="F593" s="6" t="s">
        <v>250</v>
      </c>
      <c r="G593" s="49">
        <f>604852.54/1000</f>
        <v>604.85254000000009</v>
      </c>
      <c r="H593" s="49"/>
      <c r="I593" s="49"/>
      <c r="J593" s="49"/>
    </row>
    <row r="594" spans="1:10" ht="28.5" x14ac:dyDescent="0.25">
      <c r="A594" s="99"/>
      <c r="B594" s="99"/>
      <c r="C594" s="99"/>
      <c r="D594" s="99"/>
      <c r="E594" s="49">
        <f t="shared" si="97"/>
        <v>242.5137</v>
      </c>
      <c r="F594" s="6" t="s">
        <v>269</v>
      </c>
      <c r="G594" s="49">
        <f>202094.75/1000*1.2</f>
        <v>242.5137</v>
      </c>
      <c r="H594" s="49"/>
      <c r="I594" s="49"/>
      <c r="J594" s="49"/>
    </row>
    <row r="595" spans="1:10" ht="28.5" x14ac:dyDescent="0.25">
      <c r="A595" s="99"/>
      <c r="B595" s="99"/>
      <c r="C595" s="99"/>
      <c r="D595" s="99"/>
      <c r="E595" s="49">
        <f t="shared" si="97"/>
        <v>462.14303999999998</v>
      </c>
      <c r="F595" s="6" t="s">
        <v>356</v>
      </c>
      <c r="G595" s="49">
        <f>462143.04/1000</f>
        <v>462.14303999999998</v>
      </c>
      <c r="H595" s="49"/>
      <c r="I595" s="49"/>
      <c r="J595" s="49"/>
    </row>
    <row r="596" spans="1:10" ht="28.5" x14ac:dyDescent="0.25">
      <c r="A596" s="99"/>
      <c r="B596" s="94"/>
      <c r="C596" s="94"/>
      <c r="D596" s="94"/>
      <c r="E596" s="49">
        <f t="shared" si="97"/>
        <v>284.08456000000001</v>
      </c>
      <c r="F596" s="6" t="s">
        <v>358</v>
      </c>
      <c r="G596" s="49">
        <f>284084.56/1000</f>
        <v>284.08456000000001</v>
      </c>
      <c r="H596" s="49"/>
      <c r="I596" s="49"/>
      <c r="J596" s="49"/>
    </row>
    <row r="597" spans="1:10" ht="28.5" x14ac:dyDescent="0.25">
      <c r="A597" s="99"/>
      <c r="B597" s="93" t="s">
        <v>292</v>
      </c>
      <c r="C597" s="93" t="s">
        <v>272</v>
      </c>
      <c r="D597" s="93">
        <f>4567800/1000</f>
        <v>4567.8</v>
      </c>
      <c r="E597" s="49">
        <f t="shared" si="97"/>
        <v>1429.3578500000001</v>
      </c>
      <c r="F597" s="6" t="s">
        <v>273</v>
      </c>
      <c r="G597" s="49">
        <f>1429357.85/1000</f>
        <v>1429.3578500000001</v>
      </c>
      <c r="H597" s="49"/>
      <c r="I597" s="49"/>
      <c r="J597" s="49"/>
    </row>
    <row r="598" spans="1:10" ht="28.5" x14ac:dyDescent="0.25">
      <c r="A598" s="99"/>
      <c r="B598" s="99"/>
      <c r="C598" s="99"/>
      <c r="D598" s="99"/>
      <c r="E598" s="49">
        <f t="shared" si="97"/>
        <v>1708.9918700000001</v>
      </c>
      <c r="F598" s="6" t="s">
        <v>275</v>
      </c>
      <c r="G598" s="49">
        <f>1708991.87/1000</f>
        <v>1708.9918700000001</v>
      </c>
      <c r="H598" s="49"/>
      <c r="I598" s="49"/>
      <c r="J598" s="49"/>
    </row>
    <row r="599" spans="1:10" ht="28.5" x14ac:dyDescent="0.25">
      <c r="A599" s="99"/>
      <c r="B599" s="99"/>
      <c r="C599" s="99"/>
      <c r="D599" s="99"/>
      <c r="E599" s="49">
        <f t="shared" si="97"/>
        <v>282.76197999999999</v>
      </c>
      <c r="F599" s="6" t="s">
        <v>276</v>
      </c>
      <c r="G599" s="49">
        <f>282761.98/1000</f>
        <v>282.76197999999999</v>
      </c>
      <c r="H599" s="49"/>
      <c r="I599" s="49"/>
      <c r="J599" s="49"/>
    </row>
    <row r="600" spans="1:10" ht="28.5" x14ac:dyDescent="0.25">
      <c r="A600" s="99"/>
      <c r="B600" s="94"/>
      <c r="C600" s="94"/>
      <c r="D600" s="94"/>
      <c r="E600" s="49">
        <f t="shared" si="97"/>
        <v>858.17593000000011</v>
      </c>
      <c r="F600" s="6" t="s">
        <v>381</v>
      </c>
      <c r="G600" s="49">
        <f>858175.93/1000</f>
        <v>858.17593000000011</v>
      </c>
      <c r="H600" s="49"/>
      <c r="I600" s="49"/>
      <c r="J600" s="49"/>
    </row>
    <row r="601" spans="1:10" ht="28.5" x14ac:dyDescent="0.25">
      <c r="A601" s="99"/>
      <c r="B601" s="93" t="s">
        <v>293</v>
      </c>
      <c r="C601" s="93" t="s">
        <v>277</v>
      </c>
      <c r="D601" s="93">
        <f>8665546.61/1000</f>
        <v>8665.5466099999994</v>
      </c>
      <c r="E601" s="49">
        <f t="shared" si="97"/>
        <v>1197.5984699999999</v>
      </c>
      <c r="F601" s="6" t="s">
        <v>278</v>
      </c>
      <c r="G601" s="49">
        <f>1197598.47/1000</f>
        <v>1197.5984699999999</v>
      </c>
      <c r="H601" s="49"/>
      <c r="I601" s="49"/>
      <c r="J601" s="49"/>
    </row>
    <row r="602" spans="1:10" ht="28.5" x14ac:dyDescent="0.25">
      <c r="A602" s="99"/>
      <c r="B602" s="99"/>
      <c r="C602" s="99"/>
      <c r="D602" s="99"/>
      <c r="E602" s="49">
        <f t="shared" si="97"/>
        <v>673.64913000000001</v>
      </c>
      <c r="F602" s="6" t="s">
        <v>352</v>
      </c>
      <c r="G602" s="49">
        <f>673649.13/1000</f>
        <v>673.64913000000001</v>
      </c>
      <c r="H602" s="49"/>
      <c r="I602" s="49"/>
      <c r="J602" s="49"/>
    </row>
    <row r="603" spans="1:10" ht="28.5" x14ac:dyDescent="0.25">
      <c r="A603" s="99"/>
      <c r="B603" s="99"/>
      <c r="C603" s="99"/>
      <c r="D603" s="99"/>
      <c r="E603" s="49">
        <f t="shared" si="97"/>
        <v>2395.1969300000001</v>
      </c>
      <c r="F603" s="6" t="s">
        <v>380</v>
      </c>
      <c r="G603" s="49">
        <f>2395196.93/1000</f>
        <v>2395.1969300000001</v>
      </c>
      <c r="H603" s="49"/>
      <c r="I603" s="49"/>
      <c r="J603" s="49"/>
    </row>
    <row r="604" spans="1:10" ht="28.5" x14ac:dyDescent="0.25">
      <c r="A604" s="99"/>
      <c r="B604" s="99"/>
      <c r="C604" s="99"/>
      <c r="D604" s="99"/>
      <c r="E604" s="49">
        <f t="shared" si="97"/>
        <v>74.849899999999991</v>
      </c>
      <c r="F604" s="6" t="s">
        <v>399</v>
      </c>
      <c r="G604" s="49">
        <f>74849.9/1000</f>
        <v>74.849899999999991</v>
      </c>
      <c r="H604" s="49"/>
      <c r="I604" s="49"/>
      <c r="J604" s="49"/>
    </row>
    <row r="605" spans="1:10" ht="28.5" x14ac:dyDescent="0.25">
      <c r="A605" s="99"/>
      <c r="B605" s="94"/>
      <c r="C605" s="94"/>
      <c r="D605" s="94"/>
      <c r="E605" s="49">
        <f t="shared" si="97"/>
        <v>1197.5984599999999</v>
      </c>
      <c r="F605" s="6" t="s">
        <v>421</v>
      </c>
      <c r="G605" s="49">
        <f>1197598.46/1000</f>
        <v>1197.5984599999999</v>
      </c>
      <c r="H605" s="49"/>
      <c r="I605" s="49"/>
      <c r="J605" s="49"/>
    </row>
    <row r="606" spans="1:10" ht="71.25" x14ac:dyDescent="0.25">
      <c r="A606" s="99"/>
      <c r="B606" s="93" t="s">
        <v>378</v>
      </c>
      <c r="C606" s="8" t="s">
        <v>510</v>
      </c>
      <c r="D606" s="48" t="s">
        <v>511</v>
      </c>
      <c r="E606" s="49">
        <f t="shared" si="97"/>
        <v>23</v>
      </c>
      <c r="F606" s="6" t="s">
        <v>379</v>
      </c>
      <c r="G606" s="49">
        <f>23000/1000</f>
        <v>23</v>
      </c>
      <c r="H606" s="49"/>
      <c r="I606" s="49"/>
      <c r="J606" s="49"/>
    </row>
    <row r="607" spans="1:10" ht="28.5" x14ac:dyDescent="0.25">
      <c r="A607" s="99"/>
      <c r="B607" s="99"/>
      <c r="C607" s="93" t="s">
        <v>383</v>
      </c>
      <c r="D607" s="93">
        <v>181.17483999999999</v>
      </c>
      <c r="E607" s="49">
        <f t="shared" si="97"/>
        <v>62.1</v>
      </c>
      <c r="F607" s="6" t="s">
        <v>384</v>
      </c>
      <c r="G607" s="49">
        <f>62100/1000</f>
        <v>62.1</v>
      </c>
      <c r="H607" s="49"/>
      <c r="I607" s="49"/>
      <c r="J607" s="49"/>
    </row>
    <row r="608" spans="1:10" ht="28.5" x14ac:dyDescent="0.25">
      <c r="A608" s="99"/>
      <c r="B608" s="99"/>
      <c r="C608" s="99"/>
      <c r="D608" s="99"/>
      <c r="E608" s="49">
        <f t="shared" si="97"/>
        <v>9.1999999999999993</v>
      </c>
      <c r="F608" s="6" t="s">
        <v>400</v>
      </c>
      <c r="G608" s="49">
        <f>9200/1000</f>
        <v>9.1999999999999993</v>
      </c>
      <c r="H608" s="49"/>
      <c r="I608" s="49"/>
      <c r="J608" s="49"/>
    </row>
    <row r="609" spans="1:10" ht="28.5" x14ac:dyDescent="0.25">
      <c r="A609" s="99"/>
      <c r="B609" s="94"/>
      <c r="C609" s="94"/>
      <c r="D609" s="94"/>
      <c r="E609" s="49">
        <f t="shared" si="97"/>
        <v>44.85</v>
      </c>
      <c r="F609" s="6" t="s">
        <v>423</v>
      </c>
      <c r="G609" s="49">
        <f>44850/1000</f>
        <v>44.85</v>
      </c>
      <c r="H609" s="49"/>
      <c r="I609" s="49"/>
      <c r="J609" s="49"/>
    </row>
    <row r="610" spans="1:10" ht="28.5" x14ac:dyDescent="0.25">
      <c r="A610" s="99"/>
      <c r="B610" s="93" t="s">
        <v>345</v>
      </c>
      <c r="C610" s="93" t="s">
        <v>382</v>
      </c>
      <c r="D610" s="100">
        <v>4169.8975499999997</v>
      </c>
      <c r="E610" s="49">
        <f t="shared" si="97"/>
        <v>273.52143000000001</v>
      </c>
      <c r="F610" s="6" t="s">
        <v>385</v>
      </c>
      <c r="G610" s="49">
        <f>273521.43/1000</f>
        <v>273.52143000000001</v>
      </c>
      <c r="H610" s="49"/>
      <c r="I610" s="49"/>
      <c r="J610" s="49"/>
    </row>
    <row r="611" spans="1:10" ht="28.5" x14ac:dyDescent="0.25">
      <c r="A611" s="99"/>
      <c r="B611" s="99"/>
      <c r="C611" s="99"/>
      <c r="D611" s="101"/>
      <c r="E611" s="49">
        <f t="shared" si="97"/>
        <v>495.74207000000001</v>
      </c>
      <c r="F611" s="6" t="s">
        <v>413</v>
      </c>
      <c r="G611" s="49">
        <f>495742.07/1000</f>
        <v>495.74207000000001</v>
      </c>
      <c r="H611" s="49"/>
      <c r="I611" s="49"/>
      <c r="J611" s="49"/>
    </row>
    <row r="612" spans="1:10" ht="28.5" x14ac:dyDescent="0.25">
      <c r="A612" s="99"/>
      <c r="B612" s="94"/>
      <c r="C612" s="94"/>
      <c r="D612" s="102"/>
      <c r="E612" s="49">
        <f t="shared" si="97"/>
        <v>337.8648</v>
      </c>
      <c r="F612" s="6" t="s">
        <v>450</v>
      </c>
      <c r="G612" s="49">
        <f>337864.8/1000</f>
        <v>337.8648</v>
      </c>
      <c r="H612" s="49"/>
      <c r="I612" s="49"/>
      <c r="J612" s="49"/>
    </row>
    <row r="613" spans="1:10" ht="28.5" x14ac:dyDescent="0.25">
      <c r="A613" s="99"/>
      <c r="B613" s="93" t="s">
        <v>396</v>
      </c>
      <c r="C613" s="93" t="s">
        <v>395</v>
      </c>
      <c r="D613" s="93">
        <f>42839136/1000</f>
        <v>42839.135999999999</v>
      </c>
      <c r="E613" s="49">
        <f t="shared" si="97"/>
        <v>21111.0612</v>
      </c>
      <c r="F613" s="6" t="s">
        <v>397</v>
      </c>
      <c r="G613" s="49">
        <f>21111061.2/1000</f>
        <v>21111.0612</v>
      </c>
      <c r="H613" s="49"/>
      <c r="I613" s="49"/>
      <c r="J613" s="49"/>
    </row>
    <row r="614" spans="1:10" ht="28.5" x14ac:dyDescent="0.25">
      <c r="A614" s="99"/>
      <c r="B614" s="94"/>
      <c r="C614" s="94"/>
      <c r="D614" s="94"/>
      <c r="E614" s="49">
        <f t="shared" si="97"/>
        <v>766.17071999999996</v>
      </c>
      <c r="F614" s="6" t="s">
        <v>401</v>
      </c>
      <c r="G614" s="49">
        <f>766170.72/1000</f>
        <v>766.17071999999996</v>
      </c>
      <c r="H614" s="49"/>
      <c r="I614" s="49"/>
      <c r="J614" s="49"/>
    </row>
    <row r="615" spans="1:10" ht="57" x14ac:dyDescent="0.25">
      <c r="A615" s="99"/>
      <c r="B615" s="42" t="s">
        <v>189</v>
      </c>
      <c r="C615" s="42" t="s">
        <v>491</v>
      </c>
      <c r="D615" s="42">
        <v>127.69177000000001</v>
      </c>
      <c r="E615" s="49"/>
      <c r="F615" s="6"/>
      <c r="G615" s="49"/>
      <c r="H615" s="49">
        <f t="shared" ref="H615:H616" si="98">J615</f>
        <v>33.171983999999995</v>
      </c>
      <c r="I615" s="6" t="s">
        <v>492</v>
      </c>
      <c r="J615" s="49">
        <f>27643.32*1.2/1000</f>
        <v>33.171983999999995</v>
      </c>
    </row>
    <row r="616" spans="1:10" ht="18" customHeight="1" x14ac:dyDescent="0.25">
      <c r="A616" s="99"/>
      <c r="B616" s="88" t="s">
        <v>251</v>
      </c>
      <c r="C616" s="88"/>
      <c r="D616" s="88"/>
      <c r="E616" s="23"/>
      <c r="F616" s="23"/>
      <c r="G616" s="23"/>
      <c r="H616" s="7">
        <f t="shared" si="98"/>
        <v>3840.6306960000002</v>
      </c>
      <c r="I616" s="3" t="s">
        <v>63</v>
      </c>
      <c r="J616" s="7">
        <f>749739.22*1.2/1000+1145924.35*1.2/1000+3166.67*1.2/1000+749739.21*1.2/1000+551956.13*1.2/1000</f>
        <v>3840.6306960000002</v>
      </c>
    </row>
    <row r="617" spans="1:10" ht="18" customHeight="1" x14ac:dyDescent="0.25">
      <c r="A617" s="99"/>
      <c r="B617" s="88" t="s">
        <v>258</v>
      </c>
      <c r="C617" s="88"/>
      <c r="D617" s="88"/>
      <c r="E617" s="23"/>
      <c r="F617" s="23"/>
      <c r="G617" s="23"/>
      <c r="H617" s="7">
        <f t="shared" ref="H617" si="99">J617</f>
        <v>3467.8939559999999</v>
      </c>
      <c r="I617" s="3" t="s">
        <v>63</v>
      </c>
      <c r="J617" s="7">
        <f>2889911.63/1000*1.2</f>
        <v>3467.8939559999999</v>
      </c>
    </row>
    <row r="618" spans="1:10" ht="18" customHeight="1" x14ac:dyDescent="0.25">
      <c r="A618" s="99"/>
      <c r="B618" s="88" t="s">
        <v>313</v>
      </c>
      <c r="C618" s="88"/>
      <c r="D618" s="88"/>
      <c r="E618" s="23"/>
      <c r="F618" s="23"/>
      <c r="G618" s="23"/>
      <c r="H618" s="7">
        <f t="shared" ref="H618:H619" si="100">J618</f>
        <v>2414.4932399999998</v>
      </c>
      <c r="I618" s="3" t="s">
        <v>63</v>
      </c>
      <c r="J618" s="7">
        <f>2012077.7*1.2/1000</f>
        <v>2414.4932399999998</v>
      </c>
    </row>
    <row r="619" spans="1:10" ht="18" customHeight="1" x14ac:dyDescent="0.25">
      <c r="A619" s="99"/>
      <c r="B619" s="88" t="s">
        <v>454</v>
      </c>
      <c r="C619" s="88"/>
      <c r="D619" s="88"/>
      <c r="E619" s="23"/>
      <c r="F619" s="23"/>
      <c r="G619" s="23"/>
      <c r="H619" s="7">
        <f t="shared" si="100"/>
        <v>9992.9333640000004</v>
      </c>
      <c r="I619" s="3" t="s">
        <v>63</v>
      </c>
      <c r="J619" s="7">
        <f>8327444.47*1.2/1000</f>
        <v>9992.9333640000004</v>
      </c>
    </row>
    <row r="620" spans="1:10" ht="18" customHeight="1" x14ac:dyDescent="0.25">
      <c r="A620" s="99"/>
      <c r="B620" s="89" t="s">
        <v>22</v>
      </c>
      <c r="C620" s="89"/>
      <c r="D620" s="89"/>
      <c r="E620" s="49">
        <f t="shared" ref="E620:E622" si="101">G620</f>
        <v>362.73541299999999</v>
      </c>
      <c r="F620" s="49"/>
      <c r="G620" s="49">
        <f>362735.413/1000</f>
        <v>362.73541299999999</v>
      </c>
      <c r="H620" s="49">
        <f t="shared" ref="H620:H621" si="102">J620</f>
        <v>436.26371</v>
      </c>
      <c r="I620" s="49"/>
      <c r="J620" s="49">
        <f>436263.71/1000</f>
        <v>436.26371</v>
      </c>
    </row>
    <row r="621" spans="1:10" ht="18" customHeight="1" x14ac:dyDescent="0.25">
      <c r="A621" s="99"/>
      <c r="B621" s="89" t="s">
        <v>27</v>
      </c>
      <c r="C621" s="89"/>
      <c r="D621" s="89"/>
      <c r="E621" s="49">
        <f t="shared" si="101"/>
        <v>363.643197017452</v>
      </c>
      <c r="F621" s="49"/>
      <c r="G621" s="49">
        <v>363.643197017452</v>
      </c>
      <c r="H621" s="49">
        <f t="shared" si="102"/>
        <v>65.389830000000003</v>
      </c>
      <c r="I621" s="49"/>
      <c r="J621" s="49">
        <f>65389.83/1000</f>
        <v>65.389830000000003</v>
      </c>
    </row>
    <row r="622" spans="1:10" ht="18" customHeight="1" x14ac:dyDescent="0.25">
      <c r="A622" s="99"/>
      <c r="B622" s="89" t="s">
        <v>28</v>
      </c>
      <c r="C622" s="89"/>
      <c r="D622" s="89"/>
      <c r="E622" s="49">
        <f t="shared" si="101"/>
        <v>68.213239999999999</v>
      </c>
      <c r="F622" s="49"/>
      <c r="G622" s="49">
        <f>68213.24/1000</f>
        <v>68.213239999999999</v>
      </c>
      <c r="H622" s="49">
        <f>J622</f>
        <v>89.456140000000005</v>
      </c>
      <c r="I622" s="49"/>
      <c r="J622" s="49">
        <v>89.456140000000005</v>
      </c>
    </row>
    <row r="623" spans="1:10" ht="18" customHeight="1" x14ac:dyDescent="0.25">
      <c r="A623" s="99"/>
      <c r="B623" s="89" t="s">
        <v>207</v>
      </c>
      <c r="C623" s="89"/>
      <c r="D623" s="89"/>
      <c r="E623" s="49">
        <f>+G623</f>
        <v>131.57935719148801</v>
      </c>
      <c r="F623" s="49"/>
      <c r="G623" s="49">
        <f>131579.357191488/1000</f>
        <v>131.57935719148801</v>
      </c>
      <c r="H623" s="49">
        <f>+J623</f>
        <v>184.14169000000001</v>
      </c>
      <c r="I623" s="49"/>
      <c r="J623" s="49">
        <f>184141.69/1000</f>
        <v>184.14169000000001</v>
      </c>
    </row>
    <row r="624" spans="1:10" ht="18" customHeight="1" x14ac:dyDescent="0.25">
      <c r="A624" s="99"/>
      <c r="B624" s="89" t="s">
        <v>167</v>
      </c>
      <c r="C624" s="89"/>
      <c r="D624" s="89"/>
      <c r="E624" s="49">
        <f>+G624</f>
        <v>187.39058623412498</v>
      </c>
      <c r="F624" s="49"/>
      <c r="G624" s="49">
        <f>187390.586234125/1000</f>
        <v>187.39058623412498</v>
      </c>
      <c r="H624" s="49">
        <f>+J624</f>
        <v>239.53273000000002</v>
      </c>
      <c r="I624" s="49"/>
      <c r="J624" s="49">
        <f>239532.73/1000</f>
        <v>239.53273000000002</v>
      </c>
    </row>
    <row r="625" spans="1:10" ht="18" customHeight="1" x14ac:dyDescent="0.25">
      <c r="A625" s="99"/>
      <c r="B625" s="89" t="s">
        <v>146</v>
      </c>
      <c r="C625" s="89"/>
      <c r="D625" s="89"/>
      <c r="E625" s="49">
        <f>+G625</f>
        <v>836.99300837859005</v>
      </c>
      <c r="F625" s="49"/>
      <c r="G625" s="49">
        <f>836993.00837859/1000</f>
        <v>836.99300837859005</v>
      </c>
      <c r="H625" s="49">
        <f>+J625</f>
        <v>1818.3142499999999</v>
      </c>
      <c r="I625" s="49"/>
      <c r="J625" s="49">
        <f>1818314.25/1000</f>
        <v>1818.3142499999999</v>
      </c>
    </row>
    <row r="626" spans="1:10" ht="18" customHeight="1" x14ac:dyDescent="0.25">
      <c r="A626" s="99"/>
      <c r="B626" s="89" t="s">
        <v>222</v>
      </c>
      <c r="C626" s="89"/>
      <c r="D626" s="89"/>
      <c r="E626" s="49">
        <f>G626</f>
        <v>1150.8324539399998</v>
      </c>
      <c r="F626" s="49"/>
      <c r="G626" s="49">
        <f>1150832.45394/1000</f>
        <v>1150.8324539399998</v>
      </c>
      <c r="H626" s="49">
        <f t="shared" ref="H626:H635" si="103">J626</f>
        <v>25.23076</v>
      </c>
      <c r="I626" s="49"/>
      <c r="J626" s="49">
        <f>25230.76/1000</f>
        <v>25.23076</v>
      </c>
    </row>
    <row r="627" spans="1:10" ht="18" customHeight="1" x14ac:dyDescent="0.25">
      <c r="A627" s="99"/>
      <c r="B627" s="89" t="s">
        <v>223</v>
      </c>
      <c r="C627" s="89"/>
      <c r="D627" s="89"/>
      <c r="E627" s="49">
        <f>G627</f>
        <v>44.945982366341298</v>
      </c>
      <c r="F627" s="6"/>
      <c r="G627" s="49">
        <f>44945.9823663413/1000</f>
        <v>44.945982366341298</v>
      </c>
      <c r="H627" s="49">
        <f t="shared" si="103"/>
        <v>95.334869999999995</v>
      </c>
      <c r="I627" s="49"/>
      <c r="J627" s="49">
        <f>95334.87/1000</f>
        <v>95.334869999999995</v>
      </c>
    </row>
    <row r="628" spans="1:10" ht="18" customHeight="1" x14ac:dyDescent="0.25">
      <c r="A628" s="99"/>
      <c r="B628" s="89" t="s">
        <v>224</v>
      </c>
      <c r="C628" s="89"/>
      <c r="D628" s="89"/>
      <c r="E628" s="49">
        <f t="shared" ref="E628:E632" si="104">G628</f>
        <v>58.337867919762296</v>
      </c>
      <c r="F628" s="49"/>
      <c r="G628" s="49">
        <f>58337.8679197623/1000</f>
        <v>58.337867919762296</v>
      </c>
      <c r="H628" s="49">
        <f t="shared" si="103"/>
        <v>0</v>
      </c>
      <c r="I628" s="49"/>
      <c r="J628" s="49">
        <v>0</v>
      </c>
    </row>
    <row r="629" spans="1:10" ht="18" customHeight="1" x14ac:dyDescent="0.25">
      <c r="A629" s="99"/>
      <c r="B629" s="90" t="s">
        <v>408</v>
      </c>
      <c r="C629" s="91"/>
      <c r="D629" s="92"/>
      <c r="E629" s="49">
        <f>+G629</f>
        <v>12.3585076572327</v>
      </c>
      <c r="F629" s="49"/>
      <c r="G629" s="49">
        <f>12358.5076572327/1000</f>
        <v>12.3585076572327</v>
      </c>
      <c r="H629" s="49">
        <f>+J629</f>
        <v>36.161720000000003</v>
      </c>
      <c r="I629" s="49"/>
      <c r="J629" s="49">
        <f>36161.72/1000</f>
        <v>36.161720000000003</v>
      </c>
    </row>
    <row r="630" spans="1:10" ht="18" customHeight="1" x14ac:dyDescent="0.25">
      <c r="A630" s="99"/>
      <c r="B630" s="90" t="s">
        <v>465</v>
      </c>
      <c r="C630" s="91"/>
      <c r="D630" s="92"/>
      <c r="E630" s="49">
        <f>+G630</f>
        <v>36.9732423427673</v>
      </c>
      <c r="F630" s="49"/>
      <c r="G630" s="49">
        <f>36973.2423427673/1000</f>
        <v>36.9732423427673</v>
      </c>
      <c r="H630" s="49">
        <f>+J630</f>
        <v>17.147359999999999</v>
      </c>
      <c r="I630" s="49"/>
      <c r="J630" s="49">
        <f>17147.36/1000</f>
        <v>17.147359999999999</v>
      </c>
    </row>
    <row r="631" spans="1:10" ht="18" customHeight="1" x14ac:dyDescent="0.25">
      <c r="A631" s="99"/>
      <c r="B631" s="90" t="s">
        <v>259</v>
      </c>
      <c r="C631" s="91"/>
      <c r="D631" s="92"/>
      <c r="E631" s="49">
        <f t="shared" si="104"/>
        <v>3005.1494200710481</v>
      </c>
      <c r="F631" s="49"/>
      <c r="G631" s="49">
        <f>J631</f>
        <v>3005.1494200710481</v>
      </c>
      <c r="H631" s="49">
        <f t="shared" si="103"/>
        <v>3005.1494200710481</v>
      </c>
      <c r="I631" s="49"/>
      <c r="J631" s="49">
        <f>(2895019.66+110129.760071048)/1000</f>
        <v>3005.1494200710481</v>
      </c>
    </row>
    <row r="632" spans="1:10" ht="18" customHeight="1" x14ac:dyDescent="0.25">
      <c r="A632" s="99"/>
      <c r="B632" s="90" t="s">
        <v>360</v>
      </c>
      <c r="C632" s="91"/>
      <c r="D632" s="92"/>
      <c r="E632" s="49">
        <f t="shared" si="104"/>
        <v>2210.6218458493718</v>
      </c>
      <c r="F632" s="49"/>
      <c r="G632" s="49">
        <f>J632</f>
        <v>2210.6218458493718</v>
      </c>
      <c r="H632" s="49">
        <f t="shared" si="103"/>
        <v>2210.6218458493718</v>
      </c>
      <c r="I632" s="49"/>
      <c r="J632" s="49">
        <f>2057869.43/1000+152752.415849372/1000</f>
        <v>2210.6218458493718</v>
      </c>
    </row>
    <row r="633" spans="1:10" ht="18" customHeight="1" x14ac:dyDescent="0.25">
      <c r="A633" s="99"/>
      <c r="B633" s="90" t="s">
        <v>409</v>
      </c>
      <c r="C633" s="91"/>
      <c r="D633" s="92"/>
      <c r="E633" s="49">
        <f t="shared" ref="E633:E634" si="105">G633</f>
        <v>2925.026700647159</v>
      </c>
      <c r="F633" s="49"/>
      <c r="G633" s="49">
        <f>2747252.36/1000+177774.340647159/1000</f>
        <v>2925.026700647159</v>
      </c>
      <c r="H633" s="49">
        <f>J633</f>
        <v>2924.8946979176003</v>
      </c>
      <c r="I633" s="49"/>
      <c r="J633" s="49">
        <f>2747252.36/1000+177774.340647159/1000+(-46.04-77.94)*1.064709869/1000</f>
        <v>2924.8946979176003</v>
      </c>
    </row>
    <row r="634" spans="1:10" ht="18" customHeight="1" x14ac:dyDescent="0.25">
      <c r="A634" s="94"/>
      <c r="B634" s="90" t="s">
        <v>452</v>
      </c>
      <c r="C634" s="91"/>
      <c r="D634" s="92"/>
      <c r="E634" s="49">
        <f t="shared" si="105"/>
        <v>6123.4526508147756</v>
      </c>
      <c r="F634" s="49"/>
      <c r="G634" s="49">
        <f>J634</f>
        <v>6123.4526508147756</v>
      </c>
      <c r="H634" s="49">
        <f>J634</f>
        <v>6123.4526508147756</v>
      </c>
      <c r="I634" s="49"/>
      <c r="J634" s="49">
        <f>5777698.94/1000+345753.710814775/1000</f>
        <v>6123.4526508147756</v>
      </c>
    </row>
    <row r="635" spans="1:10" ht="42.75" customHeight="1" x14ac:dyDescent="0.25">
      <c r="A635" s="93" t="s">
        <v>62</v>
      </c>
      <c r="B635" s="89" t="s">
        <v>147</v>
      </c>
      <c r="C635" s="89" t="s">
        <v>187</v>
      </c>
      <c r="D635" s="48"/>
      <c r="E635" s="49">
        <f>+G635</f>
        <v>96.943789999999993</v>
      </c>
      <c r="F635" s="6" t="s">
        <v>149</v>
      </c>
      <c r="G635" s="49">
        <f>96943.79/1000</f>
        <v>96.943789999999993</v>
      </c>
      <c r="H635" s="49">
        <f t="shared" si="103"/>
        <v>96.943787999999998</v>
      </c>
      <c r="I635" s="6" t="s">
        <v>303</v>
      </c>
      <c r="J635" s="49">
        <f>80786.49*1.2/1000</f>
        <v>96.943787999999998</v>
      </c>
    </row>
    <row r="636" spans="1:10" ht="28.5" x14ac:dyDescent="0.25">
      <c r="A636" s="99"/>
      <c r="B636" s="89"/>
      <c r="C636" s="89"/>
      <c r="D636" s="48"/>
      <c r="E636" s="49">
        <f>+G636</f>
        <v>36.256129999999999</v>
      </c>
      <c r="F636" s="6" t="s">
        <v>148</v>
      </c>
      <c r="G636" s="49">
        <f>36256.13/1000</f>
        <v>36.256129999999999</v>
      </c>
      <c r="H636" s="49"/>
      <c r="I636" s="49"/>
      <c r="J636" s="49"/>
    </row>
    <row r="637" spans="1:10" ht="24.75" customHeight="1" x14ac:dyDescent="0.25">
      <c r="A637" s="99"/>
      <c r="B637" s="89" t="s">
        <v>22</v>
      </c>
      <c r="C637" s="89"/>
      <c r="D637" s="89"/>
      <c r="E637" s="49">
        <f t="shared" ref="E637:E639" si="106">G637</f>
        <v>2.0525545286506497</v>
      </c>
      <c r="F637" s="49"/>
      <c r="G637" s="49">
        <v>2.0525545286506497</v>
      </c>
      <c r="H637" s="49">
        <f t="shared" ref="H637:H638" si="107">J637</f>
        <v>9.0361000000000011</v>
      </c>
      <c r="I637" s="49"/>
      <c r="J637" s="49">
        <v>9.0361000000000011</v>
      </c>
    </row>
    <row r="638" spans="1:10" ht="24.75" customHeight="1" x14ac:dyDescent="0.25">
      <c r="A638" s="99"/>
      <c r="B638" s="89" t="s">
        <v>27</v>
      </c>
      <c r="C638" s="89"/>
      <c r="D638" s="89"/>
      <c r="E638" s="49">
        <f t="shared" si="106"/>
        <v>8.1137939062752196</v>
      </c>
      <c r="F638" s="49"/>
      <c r="G638" s="49">
        <v>8.1137939062752196</v>
      </c>
      <c r="H638" s="49">
        <f t="shared" si="107"/>
        <v>2.7913999999999999</v>
      </c>
      <c r="I638" s="49"/>
      <c r="J638" s="49">
        <v>2.7913999999999999</v>
      </c>
    </row>
    <row r="639" spans="1:10" ht="24.75" customHeight="1" x14ac:dyDescent="0.25">
      <c r="A639" s="99"/>
      <c r="B639" s="89" t="s">
        <v>28</v>
      </c>
      <c r="C639" s="89"/>
      <c r="D639" s="89"/>
      <c r="E639" s="49">
        <f t="shared" si="106"/>
        <v>1.6611515650741402</v>
      </c>
      <c r="F639" s="49"/>
      <c r="G639" s="49">
        <v>1.6611515650741402</v>
      </c>
      <c r="H639" s="49"/>
      <c r="I639" s="49"/>
      <c r="J639" s="49"/>
    </row>
    <row r="640" spans="1:10" ht="24.75" customHeight="1" x14ac:dyDescent="0.25">
      <c r="A640" s="99"/>
      <c r="B640" s="89" t="s">
        <v>207</v>
      </c>
      <c r="C640" s="89"/>
      <c r="D640" s="89"/>
      <c r="E640" s="49">
        <f>+G640</f>
        <v>2.5238994992846902</v>
      </c>
      <c r="F640" s="49"/>
      <c r="G640" s="49">
        <f>2523.89949928469/1000</f>
        <v>2.5238994992846902</v>
      </c>
      <c r="H640" s="49">
        <f>+J640</f>
        <v>6.5070500000000004</v>
      </c>
      <c r="I640" s="49"/>
      <c r="J640" s="49">
        <f>6507.05/1000</f>
        <v>6.5070500000000004</v>
      </c>
    </row>
    <row r="641" spans="1:12" ht="24.75" customHeight="1" x14ac:dyDescent="0.25">
      <c r="A641" s="99"/>
      <c r="B641" s="89" t="s">
        <v>167</v>
      </c>
      <c r="C641" s="89"/>
      <c r="D641" s="89"/>
      <c r="E641" s="49">
        <f>+G641</f>
        <v>7.5288335174750802</v>
      </c>
      <c r="F641" s="49"/>
      <c r="G641" s="49">
        <f>7528.83351747508/1000</f>
        <v>7.5288335174750802</v>
      </c>
      <c r="H641" s="49">
        <f>+J641</f>
        <v>11.42417</v>
      </c>
      <c r="I641" s="49"/>
      <c r="J641" s="49">
        <f>11424.17/1000</f>
        <v>11.42417</v>
      </c>
    </row>
    <row r="642" spans="1:12" ht="24.75" customHeight="1" x14ac:dyDescent="0.25">
      <c r="A642" s="99"/>
      <c r="B642" s="89" t="s">
        <v>146</v>
      </c>
      <c r="C642" s="89"/>
      <c r="D642" s="89"/>
      <c r="E642" s="49">
        <f>+G642</f>
        <v>11.207952324486499</v>
      </c>
      <c r="F642" s="49"/>
      <c r="G642" s="49">
        <f>11207.9523244865/1000</f>
        <v>11.207952324486499</v>
      </c>
      <c r="H642" s="49">
        <f>+J642</f>
        <v>9.1020699999999994</v>
      </c>
      <c r="I642" s="49"/>
      <c r="J642" s="49">
        <f>9102.07/1000</f>
        <v>9.1020699999999994</v>
      </c>
    </row>
    <row r="643" spans="1:12" ht="24.75" customHeight="1" x14ac:dyDescent="0.25">
      <c r="A643" s="99"/>
      <c r="B643" s="89" t="s">
        <v>222</v>
      </c>
      <c r="C643" s="89"/>
      <c r="D643" s="89"/>
      <c r="E643" s="49">
        <f>G643</f>
        <v>18.896086620606599</v>
      </c>
      <c r="F643" s="49"/>
      <c r="G643" s="49">
        <v>18.896086620606599</v>
      </c>
      <c r="H643" s="49">
        <f>J643</f>
        <v>34.875569999999996</v>
      </c>
      <c r="I643" s="49"/>
      <c r="J643" s="49">
        <f>34875.57/1000</f>
        <v>34.875569999999996</v>
      </c>
    </row>
    <row r="644" spans="1:12" ht="24.75" customHeight="1" x14ac:dyDescent="0.25">
      <c r="A644" s="99"/>
      <c r="B644" s="89" t="s">
        <v>223</v>
      </c>
      <c r="C644" s="89"/>
      <c r="D644" s="89"/>
      <c r="E644" s="49">
        <f>G644</f>
        <v>26.917263669647898</v>
      </c>
      <c r="F644" s="49"/>
      <c r="G644" s="49">
        <f>26917.2636696479/1000</f>
        <v>26.917263669647898</v>
      </c>
      <c r="H644" s="49">
        <f>J644</f>
        <v>14.14363</v>
      </c>
      <c r="I644" s="49"/>
      <c r="J644" s="49">
        <f>14143.63/1000</f>
        <v>14.14363</v>
      </c>
    </row>
    <row r="645" spans="1:12" ht="24.75" customHeight="1" x14ac:dyDescent="0.25">
      <c r="A645" s="99"/>
      <c r="B645" s="89" t="s">
        <v>224</v>
      </c>
      <c r="C645" s="89"/>
      <c r="D645" s="89"/>
      <c r="E645" s="49">
        <f>G645</f>
        <v>12.133929368499301</v>
      </c>
      <c r="F645" s="49"/>
      <c r="G645" s="49">
        <f>12133.9293684993/1000</f>
        <v>12.133929368499301</v>
      </c>
      <c r="H645" s="49">
        <f>J645</f>
        <v>8.2168700000000001</v>
      </c>
      <c r="I645" s="49"/>
      <c r="J645" s="49">
        <f>8216.87/1000</f>
        <v>8.2168700000000001</v>
      </c>
    </row>
    <row r="646" spans="1:12" ht="24.75" customHeight="1" x14ac:dyDescent="0.25">
      <c r="A646" s="99"/>
      <c r="B646" s="90" t="s">
        <v>359</v>
      </c>
      <c r="C646" s="91"/>
      <c r="D646" s="92"/>
      <c r="E646" s="49">
        <f>+G646</f>
        <v>9.1833775106989997</v>
      </c>
      <c r="F646" s="49"/>
      <c r="G646" s="49">
        <f>9183.377510699/1000</f>
        <v>9.1833775106989997</v>
      </c>
      <c r="H646" s="49">
        <f>+J646</f>
        <v>10.39152</v>
      </c>
      <c r="I646" s="49"/>
      <c r="J646" s="49">
        <f>10391.52/1000</f>
        <v>10.39152</v>
      </c>
    </row>
    <row r="647" spans="1:12" ht="24.75" customHeight="1" x14ac:dyDescent="0.25">
      <c r="A647" s="99"/>
      <c r="B647" s="90" t="s">
        <v>408</v>
      </c>
      <c r="C647" s="91"/>
      <c r="D647" s="92"/>
      <c r="E647" s="49">
        <f>+G647</f>
        <v>12.5349394547098</v>
      </c>
      <c r="F647" s="49"/>
      <c r="G647" s="49">
        <f>12534.9394547098/1000</f>
        <v>12.5349394547098</v>
      </c>
      <c r="H647" s="49">
        <f>+J647</f>
        <v>17.983910000000002</v>
      </c>
      <c r="I647" s="49"/>
      <c r="J647" s="49">
        <f>17983.91/1000</f>
        <v>17.983910000000002</v>
      </c>
    </row>
    <row r="648" spans="1:12" ht="24.75" customHeight="1" x14ac:dyDescent="0.25">
      <c r="A648" s="99"/>
      <c r="B648" s="90" t="s">
        <v>465</v>
      </c>
      <c r="C648" s="91"/>
      <c r="D648" s="92"/>
      <c r="E648" s="49">
        <f>+G648</f>
        <v>11.718508034591199</v>
      </c>
      <c r="F648" s="49"/>
      <c r="G648" s="49">
        <f>11718.5080345912/1000</f>
        <v>11.718508034591199</v>
      </c>
      <c r="H648" s="49">
        <f>+J648</f>
        <v>0</v>
      </c>
      <c r="I648" s="49"/>
      <c r="J648" s="49"/>
    </row>
    <row r="649" spans="1:12" ht="24.75" customHeight="1" x14ac:dyDescent="0.25">
      <c r="A649" s="99"/>
      <c r="B649" s="90" t="s">
        <v>259</v>
      </c>
      <c r="C649" s="91"/>
      <c r="D649" s="92"/>
      <c r="E649" s="49">
        <f t="shared" ref="E649:E652" si="108">G649</f>
        <v>140.08973065633327</v>
      </c>
      <c r="F649" s="49"/>
      <c r="G649" s="49">
        <f>J649</f>
        <v>140.08973065633327</v>
      </c>
      <c r="H649" s="49">
        <f>J649</f>
        <v>140.08973065633327</v>
      </c>
      <c r="I649" s="49"/>
      <c r="J649" s="49">
        <f>134955.86/1000+5133.87065633331/1000</f>
        <v>140.08973065633327</v>
      </c>
    </row>
    <row r="650" spans="1:12" ht="24.75" customHeight="1" x14ac:dyDescent="0.25">
      <c r="A650" s="99"/>
      <c r="B650" s="90" t="s">
        <v>360</v>
      </c>
      <c r="C650" s="91"/>
      <c r="D650" s="92"/>
      <c r="E650" s="49">
        <f t="shared" si="108"/>
        <v>95.935688659572307</v>
      </c>
      <c r="F650" s="49"/>
      <c r="G650" s="49">
        <f>J650</f>
        <v>95.935688659572307</v>
      </c>
      <c r="H650" s="49">
        <f>J650</f>
        <v>95.935688659572307</v>
      </c>
      <c r="I650" s="49"/>
      <c r="J650" s="49">
        <f>89306.6/1000+6629.0886595723/1000</f>
        <v>95.935688659572307</v>
      </c>
    </row>
    <row r="651" spans="1:12" ht="24.75" customHeight="1" x14ac:dyDescent="0.25">
      <c r="A651" s="99"/>
      <c r="B651" s="90" t="s">
        <v>409</v>
      </c>
      <c r="C651" s="91"/>
      <c r="D651" s="92"/>
      <c r="E651" s="49">
        <f t="shared" si="108"/>
        <v>63.555108685481102</v>
      </c>
      <c r="F651" s="49"/>
      <c r="G651" s="49">
        <f>J651</f>
        <v>63.555108685481102</v>
      </c>
      <c r="H651" s="49">
        <f>J651</f>
        <v>63.555108685481102</v>
      </c>
      <c r="I651" s="49"/>
      <c r="J651" s="49">
        <f>59692.42/1000+3862.6886854811/1000</f>
        <v>63.555108685481102</v>
      </c>
    </row>
    <row r="652" spans="1:12" ht="24.75" customHeight="1" x14ac:dyDescent="0.25">
      <c r="A652" s="94"/>
      <c r="B652" s="90" t="s">
        <v>452</v>
      </c>
      <c r="C652" s="91"/>
      <c r="D652" s="92"/>
      <c r="E652" s="49">
        <f t="shared" si="108"/>
        <v>117.60144004874628</v>
      </c>
      <c r="F652" s="49"/>
      <c r="G652" s="49">
        <f>J652</f>
        <v>117.60144004874628</v>
      </c>
      <c r="H652" s="49">
        <f>J652</f>
        <v>117.60144004874628</v>
      </c>
      <c r="I652" s="49"/>
      <c r="J652" s="49">
        <f>110961.21/1000+6640.23004874628/1000</f>
        <v>117.60144004874628</v>
      </c>
    </row>
    <row r="653" spans="1:12" x14ac:dyDescent="0.25">
      <c r="A653" s="54" t="s">
        <v>15</v>
      </c>
      <c r="B653" s="88"/>
      <c r="C653" s="88"/>
      <c r="D653" s="88"/>
      <c r="E653" s="15">
        <f>SUM(E211:E652)</f>
        <v>278109.5473911218</v>
      </c>
      <c r="F653" s="15"/>
      <c r="G653" s="15">
        <f>SUM(G211:G652)</f>
        <v>278109.5473911218</v>
      </c>
      <c r="H653" s="15">
        <f>SUM(H211:H652)</f>
        <v>328193.0859475421</v>
      </c>
      <c r="I653" s="15"/>
      <c r="J653" s="15">
        <f>SUM(J211:J652)</f>
        <v>328193.0859475421</v>
      </c>
      <c r="K653" s="67">
        <f>'[1]ИП 2019-2024'!$Q$562</f>
        <v>278109.54739375378</v>
      </c>
      <c r="L653" s="67">
        <f>'[1]ИП 2019-2024'!$Q$565</f>
        <v>328193.08600554196</v>
      </c>
    </row>
    <row r="654" spans="1:12" ht="30" x14ac:dyDescent="0.25">
      <c r="A654" s="54" t="s">
        <v>20</v>
      </c>
      <c r="B654" s="118"/>
      <c r="C654" s="118"/>
      <c r="D654" s="118"/>
      <c r="E654" s="15">
        <f>E209+E653</f>
        <v>314885.39232029754</v>
      </c>
      <c r="F654" s="15"/>
      <c r="G654" s="15">
        <f>G209+G653</f>
        <v>314885.39232029754</v>
      </c>
      <c r="H654" s="15">
        <f>H209+H653</f>
        <v>368887.59117867687</v>
      </c>
      <c r="I654" s="7"/>
      <c r="J654" s="15">
        <f>J209+J653</f>
        <v>368887.59117867687</v>
      </c>
      <c r="K654" s="67">
        <f>E653-K653</f>
        <v>-2.6319758035242558E-6</v>
      </c>
      <c r="L654" s="67">
        <f>J653-L653</f>
        <v>-5.7999859564006329E-5</v>
      </c>
    </row>
    <row r="655" spans="1:12" x14ac:dyDescent="0.25">
      <c r="A655" s="68"/>
      <c r="B655" s="68"/>
      <c r="C655" s="68"/>
      <c r="D655" s="68"/>
      <c r="E655" s="69"/>
      <c r="F655" s="69"/>
      <c r="G655" s="69"/>
      <c r="H655" s="69"/>
      <c r="I655" s="70"/>
      <c r="J655" s="69"/>
    </row>
    <row r="656" spans="1:12" x14ac:dyDescent="0.25">
      <c r="A656" s="68"/>
      <c r="B656" s="68"/>
      <c r="C656" s="68"/>
      <c r="D656" s="68"/>
      <c r="E656" s="69"/>
      <c r="F656" s="69"/>
      <c r="G656" s="69"/>
      <c r="H656" s="69"/>
      <c r="I656" s="70"/>
      <c r="J656" s="69"/>
    </row>
    <row r="657" spans="1:23" ht="18" x14ac:dyDescent="0.25">
      <c r="A657" s="96" t="s">
        <v>515</v>
      </c>
      <c r="B657" s="96"/>
      <c r="C657" s="96"/>
      <c r="D657" s="96"/>
      <c r="E657" s="96"/>
      <c r="F657" s="96"/>
      <c r="G657" s="96"/>
      <c r="H657" s="96"/>
      <c r="I657" s="96"/>
      <c r="J657" s="96"/>
    </row>
    <row r="658" spans="1:23" ht="18" x14ac:dyDescent="0.25">
      <c r="A658" s="57"/>
      <c r="B658" s="57"/>
      <c r="C658" s="57"/>
      <c r="D658" s="57"/>
      <c r="E658" s="57"/>
      <c r="F658" s="57"/>
      <c r="G658" s="57"/>
      <c r="H658" s="57"/>
      <c r="I658" s="57"/>
      <c r="J658" s="57"/>
    </row>
    <row r="659" spans="1:23" s="1" customFormat="1" ht="15.75" x14ac:dyDescent="0.25">
      <c r="A659" s="87" t="s">
        <v>1</v>
      </c>
      <c r="B659" s="87" t="s">
        <v>2</v>
      </c>
      <c r="C659" s="87"/>
      <c r="D659" s="87" t="s">
        <v>3</v>
      </c>
      <c r="E659" s="87" t="s">
        <v>4</v>
      </c>
      <c r="F659" s="97" t="s">
        <v>5</v>
      </c>
      <c r="G659" s="97"/>
      <c r="H659" s="87" t="s">
        <v>6</v>
      </c>
      <c r="I659" s="87" t="s">
        <v>7</v>
      </c>
      <c r="J659" s="87"/>
    </row>
    <row r="660" spans="1:23" s="1" customFormat="1" ht="46.5" customHeight="1" x14ac:dyDescent="0.25">
      <c r="A660" s="87"/>
      <c r="B660" s="56" t="s">
        <v>8</v>
      </c>
      <c r="C660" s="56" t="s">
        <v>9</v>
      </c>
      <c r="D660" s="87"/>
      <c r="E660" s="87"/>
      <c r="F660" s="55" t="s">
        <v>10</v>
      </c>
      <c r="G660" s="56" t="s">
        <v>11</v>
      </c>
      <c r="H660" s="87"/>
      <c r="I660" s="55" t="s">
        <v>10</v>
      </c>
      <c r="J660" s="14" t="s">
        <v>11</v>
      </c>
    </row>
    <row r="661" spans="1:23" s="1" customFormat="1" ht="15.75" x14ac:dyDescent="0.25">
      <c r="A661" s="97" t="s">
        <v>12</v>
      </c>
      <c r="B661" s="97"/>
      <c r="C661" s="97"/>
      <c r="D661" s="97"/>
      <c r="E661" s="97"/>
      <c r="F661" s="97"/>
      <c r="G661" s="97"/>
      <c r="H661" s="97"/>
      <c r="I661" s="97"/>
      <c r="J661" s="97"/>
    </row>
    <row r="662" spans="1:23" s="1" customFormat="1" ht="28.5" x14ac:dyDescent="0.25">
      <c r="A662" s="88" t="s">
        <v>19</v>
      </c>
      <c r="B662" s="89" t="s">
        <v>84</v>
      </c>
      <c r="C662" s="89" t="s">
        <v>85</v>
      </c>
      <c r="D662" s="89">
        <f>16907647/1000</f>
        <v>16907.647000000001</v>
      </c>
      <c r="E662" s="49">
        <f>G662</f>
        <v>5534.3462</v>
      </c>
      <c r="F662" s="6" t="s">
        <v>86</v>
      </c>
      <c r="G662" s="49">
        <f>5534346.2/1000</f>
        <v>5534.3462</v>
      </c>
      <c r="H662" s="49"/>
      <c r="I662" s="3"/>
      <c r="J662" s="7"/>
    </row>
    <row r="663" spans="1:23" s="1" customFormat="1" ht="28.5" x14ac:dyDescent="0.25">
      <c r="A663" s="88"/>
      <c r="B663" s="89"/>
      <c r="C663" s="89" t="s">
        <v>85</v>
      </c>
      <c r="D663" s="89">
        <f>16907647/1000</f>
        <v>16907.647000000001</v>
      </c>
      <c r="E663" s="49">
        <f>G663</f>
        <v>5534.3468000000003</v>
      </c>
      <c r="F663" s="6" t="s">
        <v>377</v>
      </c>
      <c r="G663" s="49">
        <f>5534346.8/1000</f>
        <v>5534.3468000000003</v>
      </c>
      <c r="H663" s="49"/>
      <c r="I663" s="3"/>
      <c r="J663" s="7"/>
    </row>
    <row r="664" spans="1:23" s="1" customFormat="1" ht="28.5" x14ac:dyDescent="0.25">
      <c r="A664" s="88"/>
      <c r="B664" s="48" t="s">
        <v>205</v>
      </c>
      <c r="C664" s="48" t="s">
        <v>443</v>
      </c>
      <c r="D664" s="48"/>
      <c r="E664" s="49">
        <f>G664</f>
        <v>5280.0612799999999</v>
      </c>
      <c r="F664" s="6" t="s">
        <v>444</v>
      </c>
      <c r="G664" s="49">
        <f>5280061.28/1000</f>
        <v>5280.0612799999999</v>
      </c>
      <c r="H664" s="49"/>
      <c r="I664" s="3"/>
      <c r="J664" s="7"/>
    </row>
    <row r="665" spans="1:23" s="2" customFormat="1" x14ac:dyDescent="0.25">
      <c r="A665" s="54" t="s">
        <v>13</v>
      </c>
      <c r="B665" s="40"/>
      <c r="C665" s="40"/>
      <c r="D665" s="7"/>
      <c r="E665" s="15">
        <f>SUM(E662:E664)</f>
        <v>16348.754279999999</v>
      </c>
      <c r="F665" s="15"/>
      <c r="G665" s="15">
        <f>SUM(G662:G664)</f>
        <v>16348.754279999999</v>
      </c>
      <c r="H665" s="15">
        <f>SUM(H662:H664)</f>
        <v>0</v>
      </c>
      <c r="I665" s="15"/>
      <c r="J665" s="15">
        <f>SUM(J662:J664)</f>
        <v>0</v>
      </c>
    </row>
    <row r="666" spans="1:23" s="16" customFormat="1" x14ac:dyDescent="0.25">
      <c r="A666" s="95" t="s">
        <v>14</v>
      </c>
      <c r="B666" s="95"/>
      <c r="C666" s="95"/>
      <c r="D666" s="95"/>
      <c r="E666" s="95"/>
      <c r="F666" s="95"/>
      <c r="G666" s="95"/>
      <c r="H666" s="95"/>
      <c r="I666" s="95"/>
      <c r="J666" s="95"/>
    </row>
    <row r="667" spans="1:23" s="11" customFormat="1" ht="15.75" thickBot="1" x14ac:dyDescent="0.3">
      <c r="A667" s="8"/>
      <c r="B667" s="48"/>
      <c r="C667" s="48"/>
      <c r="D667" s="49"/>
      <c r="E667" s="7"/>
      <c r="F667" s="27"/>
      <c r="G667" s="7"/>
      <c r="H667" s="7"/>
      <c r="I667" s="47"/>
      <c r="J667" s="7"/>
    </row>
    <row r="668" spans="1:23" s="39" customFormat="1" ht="15.75" thickBot="1" x14ac:dyDescent="0.3">
      <c r="A668" s="54" t="s">
        <v>15</v>
      </c>
      <c r="B668" s="47"/>
      <c r="C668" s="47"/>
      <c r="D668" s="47"/>
      <c r="E668" s="15">
        <f>SUM(E667:E667)</f>
        <v>0</v>
      </c>
      <c r="F668" s="15"/>
      <c r="G668" s="15">
        <f>SUM(G667:G667)</f>
        <v>0</v>
      </c>
      <c r="H668" s="15">
        <f>SUM(H667:H667)</f>
        <v>0</v>
      </c>
      <c r="I668" s="15"/>
      <c r="J668" s="15">
        <f>SUM(J667:J667)</f>
        <v>0</v>
      </c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</row>
    <row r="669" spans="1:23" s="11" customFormat="1" ht="30" x14ac:dyDescent="0.25">
      <c r="A669" s="54" t="s">
        <v>20</v>
      </c>
      <c r="B669" s="54"/>
      <c r="C669" s="54"/>
      <c r="D669" s="54"/>
      <c r="E669" s="15">
        <f>E665+E668</f>
        <v>16348.754279999999</v>
      </c>
      <c r="F669" s="15"/>
      <c r="G669" s="15">
        <f t="shared" ref="G669:H669" si="109">G665+G668</f>
        <v>16348.754279999999</v>
      </c>
      <c r="H669" s="15">
        <f t="shared" si="109"/>
        <v>0</v>
      </c>
      <c r="I669" s="7"/>
      <c r="J669" s="15">
        <f>J665+J668</f>
        <v>0</v>
      </c>
    </row>
    <row r="670" spans="1:23" s="11" customFormat="1" x14ac:dyDescent="0.25">
      <c r="A670" s="68"/>
      <c r="B670" s="68"/>
      <c r="C670" s="68"/>
      <c r="D670" s="68"/>
      <c r="E670" s="69"/>
      <c r="F670" s="69"/>
      <c r="G670" s="69"/>
      <c r="H670" s="69"/>
      <c r="I670" s="70"/>
      <c r="J670" s="69"/>
    </row>
    <row r="671" spans="1:23" s="11" customFormat="1" x14ac:dyDescent="0.25">
      <c r="A671" s="68"/>
      <c r="B671" s="68"/>
      <c r="C671" s="68"/>
      <c r="D671" s="68"/>
      <c r="E671" s="69"/>
      <c r="F671" s="69"/>
      <c r="G671" s="69"/>
      <c r="H671" s="69"/>
      <c r="I671" s="70"/>
      <c r="J671" s="69"/>
    </row>
    <row r="672" spans="1:23" s="11" customFormat="1" x14ac:dyDescent="0.25">
      <c r="A672" s="68"/>
      <c r="B672" s="68"/>
      <c r="C672" s="68"/>
      <c r="D672" s="68"/>
      <c r="E672" s="69"/>
      <c r="F672" s="69"/>
      <c r="G672" s="69"/>
      <c r="H672" s="69"/>
      <c r="I672" s="70"/>
      <c r="J672" s="69"/>
    </row>
    <row r="673" spans="1:10" s="11" customFormat="1" x14ac:dyDescent="0.25">
      <c r="A673" s="68"/>
      <c r="B673" s="68"/>
      <c r="C673" s="68"/>
      <c r="D673" s="68"/>
      <c r="E673" s="69"/>
      <c r="F673" s="69"/>
      <c r="G673" s="69"/>
      <c r="H673" s="69"/>
      <c r="I673" s="70"/>
      <c r="J673" s="69"/>
    </row>
    <row r="674" spans="1:10" s="11" customFormat="1" x14ac:dyDescent="0.25">
      <c r="A674" s="68"/>
      <c r="B674" s="68"/>
      <c r="C674" s="68"/>
      <c r="D674" s="68"/>
      <c r="E674" s="69"/>
      <c r="F674" s="69"/>
      <c r="G674" s="69"/>
      <c r="H674" s="69"/>
      <c r="I674" s="70"/>
      <c r="J674" s="69"/>
    </row>
    <row r="675" spans="1:10" s="11" customFormat="1" ht="15.75" x14ac:dyDescent="0.25">
      <c r="A675" s="71" t="s">
        <v>530</v>
      </c>
      <c r="B675" s="72"/>
      <c r="C675" s="72"/>
      <c r="D675" s="73"/>
      <c r="E675" s="73"/>
      <c r="F675" s="72"/>
      <c r="G675" s="72"/>
      <c r="H675" s="69"/>
      <c r="I675" s="70"/>
      <c r="J675" s="69"/>
    </row>
    <row r="676" spans="1:10" s="11" customFormat="1" ht="15.75" x14ac:dyDescent="0.25">
      <c r="A676" s="74" t="s">
        <v>531</v>
      </c>
      <c r="B676" s="72"/>
      <c r="C676" s="72"/>
      <c r="D676" s="75"/>
      <c r="E676" s="76"/>
      <c r="F676" s="72"/>
      <c r="G676" s="72"/>
      <c r="H676" s="69"/>
      <c r="I676" s="70"/>
      <c r="J676" s="69"/>
    </row>
    <row r="677" spans="1:10" s="11" customFormat="1" ht="47.25" x14ac:dyDescent="0.25">
      <c r="A677" s="74" t="s">
        <v>532</v>
      </c>
      <c r="B677" s="72"/>
      <c r="C677" s="72"/>
      <c r="D677" s="74"/>
      <c r="E677" s="74"/>
      <c r="F677" s="72"/>
      <c r="G677" s="72"/>
      <c r="H677" s="69"/>
      <c r="I677" s="70"/>
      <c r="J677" s="69"/>
    </row>
    <row r="678" spans="1:10" s="11" customFormat="1" ht="15.75" x14ac:dyDescent="0.25">
      <c r="A678" s="74"/>
      <c r="B678" s="77" t="s">
        <v>533</v>
      </c>
      <c r="C678" s="77"/>
      <c r="D678" s="69"/>
      <c r="E678" s="70"/>
      <c r="F678" s="69"/>
    </row>
    <row r="679" spans="1:10" s="11" customFormat="1" ht="31.5" x14ac:dyDescent="0.25">
      <c r="A679" s="78" t="s">
        <v>534</v>
      </c>
      <c r="B679" s="79" t="s">
        <v>535</v>
      </c>
      <c r="C679" s="79" t="s">
        <v>536</v>
      </c>
      <c r="D679" s="82"/>
      <c r="E679" s="83"/>
      <c r="F679" s="82"/>
      <c r="G679" s="84"/>
    </row>
    <row r="680" spans="1:10" s="11" customFormat="1" ht="15.75" x14ac:dyDescent="0.25">
      <c r="A680" s="78"/>
      <c r="B680" s="79"/>
      <c r="C680" s="79"/>
      <c r="D680" s="82"/>
      <c r="E680" s="83"/>
      <c r="F680" s="82"/>
      <c r="G680" s="84"/>
    </row>
    <row r="681" spans="1:10" s="11" customFormat="1" ht="30" x14ac:dyDescent="0.25">
      <c r="A681" s="80" t="s">
        <v>537</v>
      </c>
      <c r="B681" s="85">
        <v>368887.59124220605</v>
      </c>
      <c r="C681" s="85">
        <v>331233.98661568854</v>
      </c>
      <c r="D681" s="83"/>
      <c r="E681" s="83">
        <f>'[2]отч Админ. гл в отчет'!G8-B681</f>
        <v>0</v>
      </c>
      <c r="F681" s="83">
        <f>'[2]отч Админ. гл в отчет'!H8-C681</f>
        <v>0</v>
      </c>
      <c r="G681" s="83"/>
    </row>
    <row r="682" spans="1:10" s="11" customFormat="1" x14ac:dyDescent="0.25">
      <c r="A682" s="80" t="s">
        <v>538</v>
      </c>
      <c r="B682" s="85">
        <v>232442.41379200004</v>
      </c>
      <c r="C682" s="85">
        <v>232442.41379200004</v>
      </c>
      <c r="D682" s="83"/>
      <c r="E682" s="83">
        <f>'[2]отч Админ. гл в отчет'!G9-B682</f>
        <v>0</v>
      </c>
      <c r="F682" s="83">
        <f>'[2]отч Админ. гл в отчет'!H9-C682</f>
        <v>0</v>
      </c>
      <c r="G682" s="83"/>
    </row>
    <row r="683" spans="1:10" s="11" customFormat="1" x14ac:dyDescent="0.25">
      <c r="A683" s="80" t="s">
        <v>539</v>
      </c>
      <c r="B683" s="85">
        <v>205794.09769999998</v>
      </c>
      <c r="C683" s="85">
        <v>205794.09769999998</v>
      </c>
      <c r="D683" s="83"/>
      <c r="E683" s="83">
        <f>'[2]отч Админ. гл в отчет'!G10-B683</f>
        <v>0</v>
      </c>
      <c r="F683" s="83">
        <f>'[2]отч Админ. гл в отчет'!H10-C683</f>
        <v>0</v>
      </c>
      <c r="G683" s="83"/>
    </row>
    <row r="684" spans="1:10" s="11" customFormat="1" ht="30" x14ac:dyDescent="0.25">
      <c r="A684" s="80" t="s">
        <v>540</v>
      </c>
      <c r="B684" s="85">
        <v>0</v>
      </c>
      <c r="C684" s="85">
        <v>0</v>
      </c>
      <c r="D684" s="83"/>
      <c r="E684" s="83">
        <f>'[2]отч Админ. гл в отчет'!G11-B684</f>
        <v>0</v>
      </c>
      <c r="F684" s="83">
        <f>'[2]отч Админ. гл в отчет'!H11-C684</f>
        <v>0</v>
      </c>
      <c r="G684" s="83"/>
    </row>
    <row r="685" spans="1:10" s="11" customFormat="1" x14ac:dyDescent="0.25">
      <c r="A685" s="80" t="s">
        <v>541</v>
      </c>
      <c r="B685" s="85">
        <v>147793.19649809616</v>
      </c>
      <c r="C685" s="85">
        <v>148651.31030463317</v>
      </c>
      <c r="D685" s="83"/>
      <c r="E685" s="83">
        <f>'[2]отч Админ. гл в отчет'!G12-B685</f>
        <v>0</v>
      </c>
      <c r="F685" s="83">
        <f>'[2]отч Админ. гл в отчет'!H12-C685</f>
        <v>0</v>
      </c>
      <c r="G685" s="83"/>
    </row>
    <row r="686" spans="1:10" s="11" customFormat="1" x14ac:dyDescent="0.25">
      <c r="A686" s="81" t="s">
        <v>542</v>
      </c>
      <c r="B686" s="85">
        <v>8583.1722699999991</v>
      </c>
      <c r="C686" s="85">
        <v>7973.7409599999992</v>
      </c>
      <c r="D686" s="83"/>
      <c r="E686" s="83">
        <f>'[2]отч Админ. гл в отчет'!G13-B686</f>
        <v>0</v>
      </c>
      <c r="F686" s="83">
        <f>'[2]отч Админ. гл в отчет'!H13-C686</f>
        <v>0</v>
      </c>
      <c r="G686" s="83"/>
    </row>
    <row r="687" spans="1:10" s="11" customFormat="1" ht="45" x14ac:dyDescent="0.25">
      <c r="A687" s="80" t="s">
        <v>547</v>
      </c>
      <c r="B687" s="85">
        <v>516757.459007247</v>
      </c>
      <c r="C687" s="85">
        <v>516757.459007247</v>
      </c>
      <c r="D687" s="83"/>
      <c r="E687" s="83">
        <f>'[2]отч Админ. гл в отчет'!G14-B687</f>
        <v>0</v>
      </c>
      <c r="F687" s="83">
        <f>'[2]отч Админ. гл в отчет'!H14-C687</f>
        <v>0</v>
      </c>
      <c r="G687" s="83"/>
    </row>
    <row r="688" spans="1:10" s="11" customFormat="1" x14ac:dyDescent="0.25">
      <c r="A688" s="80" t="s">
        <v>543</v>
      </c>
      <c r="B688" s="85">
        <v>0</v>
      </c>
      <c r="C688" s="86">
        <v>0</v>
      </c>
      <c r="D688" s="83"/>
      <c r="E688" s="83">
        <f>'[2]отч Админ. гл в отчет'!G15-B688</f>
        <v>0</v>
      </c>
      <c r="F688" s="83">
        <f>'[2]отч Админ. гл в отчет'!H15-C688</f>
        <v>0</v>
      </c>
      <c r="G688" s="83"/>
    </row>
    <row r="689" spans="1:10" s="11" customFormat="1" ht="30" x14ac:dyDescent="0.25">
      <c r="A689" s="80" t="s">
        <v>544</v>
      </c>
      <c r="B689" s="85">
        <v>45210.878952771418</v>
      </c>
      <c r="C689" s="86">
        <v>68180.478280025563</v>
      </c>
      <c r="D689" s="83"/>
      <c r="E689" s="83">
        <f>'[2]отч Админ. гл в отчет'!G16-B689</f>
        <v>0</v>
      </c>
      <c r="F689" s="83">
        <f>'[2]отч Админ. гл в отчет'!H16-C689</f>
        <v>0</v>
      </c>
      <c r="G689" s="83"/>
    </row>
    <row r="690" spans="1:10" s="11" customFormat="1" ht="30" x14ac:dyDescent="0.25">
      <c r="A690" s="81" t="s">
        <v>545</v>
      </c>
      <c r="B690" s="85">
        <v>-43763.771873701015</v>
      </c>
      <c r="C690" s="86">
        <v>-20794.172546446862</v>
      </c>
      <c r="D690" s="83"/>
      <c r="E690" s="83">
        <f>'[2]отч Админ. гл в отчет'!G17-B690</f>
        <v>0</v>
      </c>
      <c r="F690" s="83">
        <f>'[2]отч Админ. гл в отчет'!H17-C690</f>
        <v>0</v>
      </c>
      <c r="G690" s="83"/>
    </row>
    <row r="691" spans="1:10" s="11" customFormat="1" x14ac:dyDescent="0.25">
      <c r="A691" s="81" t="s">
        <v>546</v>
      </c>
      <c r="B691" s="85">
        <v>88974.650826472425</v>
      </c>
      <c r="C691" s="86">
        <v>88974.650826472425</v>
      </c>
      <c r="D691" s="83"/>
      <c r="E691" s="83">
        <f>'[2]отч Админ. гл в отчет'!G18-B691</f>
        <v>0</v>
      </c>
      <c r="F691" s="83">
        <f>'[2]отч Админ. гл в отчет'!H18-C691</f>
        <v>0</v>
      </c>
      <c r="G691" s="83"/>
    </row>
    <row r="692" spans="1:10" s="11" customFormat="1" x14ac:dyDescent="0.25">
      <c r="A692" s="68"/>
      <c r="B692" s="68"/>
      <c r="C692" s="68"/>
      <c r="D692" s="68"/>
      <c r="E692" s="69"/>
      <c r="F692" s="69"/>
      <c r="G692" s="69"/>
      <c r="H692" s="69"/>
      <c r="I692" s="70"/>
      <c r="J692" s="69"/>
    </row>
    <row r="693" spans="1:10" s="11" customFormat="1" x14ac:dyDescent="0.25">
      <c r="A693" s="68"/>
      <c r="B693" s="68"/>
      <c r="C693" s="68"/>
      <c r="D693" s="68"/>
      <c r="E693" s="69"/>
      <c r="F693" s="69"/>
      <c r="G693" s="69"/>
      <c r="H693" s="69"/>
      <c r="I693" s="70"/>
      <c r="J693" s="69"/>
    </row>
    <row r="694" spans="1:10" ht="18.75" x14ac:dyDescent="0.3">
      <c r="A694" s="18" t="s">
        <v>16</v>
      </c>
      <c r="B694" s="19"/>
      <c r="C694" s="19"/>
      <c r="D694" s="19"/>
      <c r="E694" s="28" t="s">
        <v>18</v>
      </c>
      <c r="F694" s="29"/>
    </row>
    <row r="695" spans="1:10" ht="18.75" x14ac:dyDescent="0.3">
      <c r="A695" s="18"/>
      <c r="B695" s="19"/>
      <c r="C695" s="19"/>
      <c r="D695" s="19"/>
      <c r="E695" s="28"/>
      <c r="F695" s="29"/>
      <c r="G695" s="31"/>
      <c r="J695" s="31"/>
    </row>
    <row r="696" spans="1:10" ht="18.75" x14ac:dyDescent="0.3">
      <c r="A696" s="20" t="s">
        <v>35</v>
      </c>
      <c r="B696" s="21"/>
      <c r="C696" s="21"/>
      <c r="D696" s="22"/>
      <c r="E696" s="21" t="s">
        <v>17</v>
      </c>
      <c r="F696" s="29"/>
      <c r="J696" s="32"/>
    </row>
    <row r="697" spans="1:10" x14ac:dyDescent="0.25">
      <c r="G697" s="33"/>
      <c r="H697" s="31"/>
      <c r="I697" s="31"/>
      <c r="J697" s="32"/>
    </row>
    <row r="698" spans="1:10" x14ac:dyDescent="0.25">
      <c r="J698" s="31"/>
    </row>
    <row r="699" spans="1:10" x14ac:dyDescent="0.25">
      <c r="E699" s="34"/>
      <c r="G699" s="33"/>
      <c r="H699" s="31"/>
    </row>
    <row r="701" spans="1:10" x14ac:dyDescent="0.25">
      <c r="E701" s="34"/>
    </row>
    <row r="702" spans="1:10" x14ac:dyDescent="0.25">
      <c r="G702" s="31"/>
      <c r="J702" s="31"/>
    </row>
    <row r="704" spans="1:10" x14ac:dyDescent="0.25">
      <c r="G704" s="31"/>
      <c r="H704" s="35"/>
      <c r="J704" s="31"/>
    </row>
    <row r="709" spans="1:10" ht="18.75" x14ac:dyDescent="0.3">
      <c r="A709" s="36"/>
      <c r="B709" s="37"/>
      <c r="J709" s="31"/>
    </row>
    <row r="710" spans="1:10" x14ac:dyDescent="0.25">
      <c r="F710" s="31"/>
      <c r="G710" s="31"/>
      <c r="J710" s="31"/>
    </row>
    <row r="711" spans="1:10" x14ac:dyDescent="0.25">
      <c r="G711" s="31"/>
      <c r="J711" s="31"/>
    </row>
    <row r="712" spans="1:10" x14ac:dyDescent="0.25">
      <c r="G712" s="31"/>
    </row>
    <row r="720" spans="1:10" x14ac:dyDescent="0.25">
      <c r="G720" s="31"/>
      <c r="J720" s="31"/>
    </row>
    <row r="721" spans="6:10" x14ac:dyDescent="0.25">
      <c r="F721" s="31"/>
      <c r="G721" s="31"/>
    </row>
    <row r="722" spans="6:10" x14ac:dyDescent="0.25">
      <c r="F722" s="31"/>
    </row>
    <row r="723" spans="6:10" x14ac:dyDescent="0.25">
      <c r="G723" s="31"/>
    </row>
    <row r="726" spans="6:10" x14ac:dyDescent="0.25">
      <c r="G726" s="31"/>
    </row>
    <row r="730" spans="6:10" x14ac:dyDescent="0.25">
      <c r="G730" s="31"/>
    </row>
    <row r="731" spans="6:10" x14ac:dyDescent="0.25">
      <c r="G731" s="31"/>
    </row>
    <row r="733" spans="6:10" x14ac:dyDescent="0.25">
      <c r="J733" s="31"/>
    </row>
    <row r="734" spans="6:10" x14ac:dyDescent="0.25">
      <c r="J734" s="31"/>
    </row>
    <row r="735" spans="6:10" x14ac:dyDescent="0.25">
      <c r="J735" s="31"/>
    </row>
    <row r="740" spans="5:10" x14ac:dyDescent="0.25">
      <c r="E740" s="38"/>
      <c r="G740" s="31"/>
      <c r="J740" s="31"/>
    </row>
    <row r="741" spans="5:10" x14ac:dyDescent="0.25">
      <c r="E741" s="38"/>
      <c r="G741" s="31"/>
      <c r="J741" s="31"/>
    </row>
    <row r="742" spans="5:10" x14ac:dyDescent="0.25">
      <c r="E742" s="38"/>
      <c r="G742" s="31"/>
      <c r="J742" s="31"/>
    </row>
    <row r="743" spans="5:10" x14ac:dyDescent="0.25">
      <c r="E743" s="38"/>
      <c r="G743" s="31"/>
      <c r="J743" s="31"/>
    </row>
    <row r="744" spans="5:10" x14ac:dyDescent="0.25">
      <c r="E744" s="38"/>
      <c r="G744" s="31"/>
      <c r="J744" s="31"/>
    </row>
    <row r="745" spans="5:10" x14ac:dyDescent="0.25">
      <c r="E745" s="38"/>
      <c r="G745" s="31"/>
      <c r="J745" s="31"/>
    </row>
    <row r="748" spans="5:10" x14ac:dyDescent="0.25">
      <c r="E748" s="38"/>
      <c r="G748" s="31"/>
      <c r="J748" s="31"/>
    </row>
    <row r="749" spans="5:10" x14ac:dyDescent="0.25">
      <c r="E749" s="38"/>
      <c r="G749" s="31"/>
      <c r="J749" s="31"/>
    </row>
    <row r="750" spans="5:10" x14ac:dyDescent="0.25">
      <c r="E750" s="38"/>
      <c r="G750" s="31"/>
      <c r="J750" s="31"/>
    </row>
    <row r="752" spans="5:10" x14ac:dyDescent="0.25">
      <c r="E752" s="31"/>
      <c r="J752" s="31"/>
    </row>
    <row r="753" spans="5:8" x14ac:dyDescent="0.25">
      <c r="E753" s="31"/>
    </row>
    <row r="754" spans="5:8" x14ac:dyDescent="0.25">
      <c r="G754" s="31"/>
    </row>
    <row r="761" spans="5:8" x14ac:dyDescent="0.25">
      <c r="E761" s="31"/>
      <c r="F761" s="31"/>
      <c r="G761" s="31"/>
    </row>
    <row r="762" spans="5:8" x14ac:dyDescent="0.25">
      <c r="E762" s="31"/>
      <c r="G762" s="31"/>
      <c r="H762" s="31"/>
    </row>
    <row r="768" spans="5:8" x14ac:dyDescent="0.25">
      <c r="G768" s="31"/>
    </row>
    <row r="788" spans="1:12" ht="18.75" x14ac:dyDescent="0.3">
      <c r="A788" s="131"/>
      <c r="B788" s="131"/>
      <c r="C788" s="131"/>
      <c r="D788" s="131"/>
      <c r="E788" s="131"/>
      <c r="F788" s="131"/>
      <c r="G788" s="131"/>
      <c r="H788" s="131"/>
      <c r="I788" s="131"/>
      <c r="J788" s="131"/>
      <c r="K788" s="9"/>
      <c r="L788" s="9"/>
    </row>
    <row r="789" spans="1:12" x14ac:dyDescent="0.25">
      <c r="E789" s="31"/>
    </row>
    <row r="793" spans="1:12" ht="15.75" x14ac:dyDescent="0.25">
      <c r="A793" s="98"/>
      <c r="B793" s="98"/>
      <c r="C793" s="98"/>
      <c r="D793" s="98"/>
      <c r="E793" s="98"/>
      <c r="F793" s="98"/>
      <c r="G793" s="98"/>
      <c r="H793" s="98"/>
      <c r="I793" s="98"/>
      <c r="J793" s="98"/>
    </row>
    <row r="795" spans="1:12" ht="18.75" x14ac:dyDescent="0.3">
      <c r="A795" s="36"/>
      <c r="B795" s="36"/>
      <c r="C795" s="36"/>
      <c r="D795" s="36"/>
      <c r="E795" s="36"/>
      <c r="F795" s="36"/>
      <c r="G795" s="36"/>
      <c r="H795" s="36"/>
      <c r="I795" s="36"/>
      <c r="J795" s="36"/>
    </row>
  </sheetData>
  <autoFilter ref="A7:J657">
    <filterColumn colId="1" showButton="0"/>
    <filterColumn colId="5" showButton="0"/>
    <filterColumn colId="8" showButton="0"/>
  </autoFilter>
  <mergeCells count="619">
    <mergeCell ref="N2:P2"/>
    <mergeCell ref="N3:P3"/>
    <mergeCell ref="N4:P4"/>
    <mergeCell ref="A274:A290"/>
    <mergeCell ref="A446:A454"/>
    <mergeCell ref="A455:A472"/>
    <mergeCell ref="A473:A491"/>
    <mergeCell ref="A413:A445"/>
    <mergeCell ref="B505:D505"/>
    <mergeCell ref="B334:D334"/>
    <mergeCell ref="D360:D361"/>
    <mergeCell ref="B313:D313"/>
    <mergeCell ref="B311:D311"/>
    <mergeCell ref="B374:D374"/>
    <mergeCell ref="B375:D375"/>
    <mergeCell ref="B376:D376"/>
    <mergeCell ref="B319:D319"/>
    <mergeCell ref="B329:D329"/>
    <mergeCell ref="B340:D340"/>
    <mergeCell ref="B373:D373"/>
    <mergeCell ref="B330:D330"/>
    <mergeCell ref="B371:D371"/>
    <mergeCell ref="B369:D369"/>
    <mergeCell ref="B336:D336"/>
    <mergeCell ref="B531:D531"/>
    <mergeCell ref="A261:A273"/>
    <mergeCell ref="A291:A309"/>
    <mergeCell ref="A310:A327"/>
    <mergeCell ref="A328:A335"/>
    <mergeCell ref="A336:A351"/>
    <mergeCell ref="A352:A383"/>
    <mergeCell ref="A384:A412"/>
    <mergeCell ref="A509:A534"/>
    <mergeCell ref="C465:C467"/>
    <mergeCell ref="D465:D467"/>
    <mergeCell ref="B309:D309"/>
    <mergeCell ref="B327:D327"/>
    <mergeCell ref="B321:D321"/>
    <mergeCell ref="B335:D335"/>
    <mergeCell ref="B331:D331"/>
    <mergeCell ref="B351:D351"/>
    <mergeCell ref="B383:D383"/>
    <mergeCell ref="B379:D379"/>
    <mergeCell ref="B352:B354"/>
    <mergeCell ref="C352:C354"/>
    <mergeCell ref="D352:D354"/>
    <mergeCell ref="B367:D367"/>
    <mergeCell ref="B326:D326"/>
    <mergeCell ref="K536:W536"/>
    <mergeCell ref="A788:J788"/>
    <mergeCell ref="B508:D508"/>
    <mergeCell ref="B504:D504"/>
    <mergeCell ref="A492:A508"/>
    <mergeCell ref="B534:D534"/>
    <mergeCell ref="B530:D530"/>
    <mergeCell ref="B634:D634"/>
    <mergeCell ref="A535:A634"/>
    <mergeCell ref="B566:B568"/>
    <mergeCell ref="C566:C568"/>
    <mergeCell ref="D566:D568"/>
    <mergeCell ref="C535:C547"/>
    <mergeCell ref="D535:D547"/>
    <mergeCell ref="B619:D619"/>
    <mergeCell ref="B630:D630"/>
    <mergeCell ref="B533:D533"/>
    <mergeCell ref="B503:D503"/>
    <mergeCell ref="B562:B564"/>
    <mergeCell ref="B506:D506"/>
    <mergeCell ref="B626:D626"/>
    <mergeCell ref="A635:A652"/>
    <mergeCell ref="B522:D522"/>
    <mergeCell ref="B597:B600"/>
    <mergeCell ref="B333:D333"/>
    <mergeCell ref="B312:D312"/>
    <mergeCell ref="B322:B323"/>
    <mergeCell ref="B320:D320"/>
    <mergeCell ref="B296:D296"/>
    <mergeCell ref="B274:D274"/>
    <mergeCell ref="B286:D286"/>
    <mergeCell ref="B255:D255"/>
    <mergeCell ref="C238:C239"/>
    <mergeCell ref="B240:B242"/>
    <mergeCell ref="B287:D287"/>
    <mergeCell ref="B289:D289"/>
    <mergeCell ref="B272:D272"/>
    <mergeCell ref="B284:D284"/>
    <mergeCell ref="B299:D299"/>
    <mergeCell ref="B256:D256"/>
    <mergeCell ref="B276:D276"/>
    <mergeCell ref="B277:D277"/>
    <mergeCell ref="B278:D278"/>
    <mergeCell ref="B298:D298"/>
    <mergeCell ref="B282:D282"/>
    <mergeCell ref="B283:D283"/>
    <mergeCell ref="A168:A179"/>
    <mergeCell ref="B186:D186"/>
    <mergeCell ref="C192:C193"/>
    <mergeCell ref="D192:D193"/>
    <mergeCell ref="B218:D218"/>
    <mergeCell ref="D238:D239"/>
    <mergeCell ref="A221:A228"/>
    <mergeCell ref="B219:D219"/>
    <mergeCell ref="B213:D213"/>
    <mergeCell ref="B214:D214"/>
    <mergeCell ref="B225:D225"/>
    <mergeCell ref="A180:A191"/>
    <mergeCell ref="A192:A208"/>
    <mergeCell ref="B204:D204"/>
    <mergeCell ref="B223:D223"/>
    <mergeCell ref="B184:D184"/>
    <mergeCell ref="B183:D183"/>
    <mergeCell ref="B206:D206"/>
    <mergeCell ref="B215:D215"/>
    <mergeCell ref="B202:D202"/>
    <mergeCell ref="B207:D207"/>
    <mergeCell ref="B190:D190"/>
    <mergeCell ref="B209:D209"/>
    <mergeCell ref="C195:C197"/>
    <mergeCell ref="A100:A117"/>
    <mergeCell ref="B98:D98"/>
    <mergeCell ref="B111:D111"/>
    <mergeCell ref="B96:D96"/>
    <mergeCell ref="B90:D90"/>
    <mergeCell ref="B91:D91"/>
    <mergeCell ref="B104:D104"/>
    <mergeCell ref="B105:D105"/>
    <mergeCell ref="B94:D94"/>
    <mergeCell ref="B93:D93"/>
    <mergeCell ref="B112:D112"/>
    <mergeCell ref="B17:D17"/>
    <mergeCell ref="B46:D46"/>
    <mergeCell ref="B56:D56"/>
    <mergeCell ref="D36:D37"/>
    <mergeCell ref="B25:D25"/>
    <mergeCell ref="B13:D13"/>
    <mergeCell ref="B23:D23"/>
    <mergeCell ref="B30:B31"/>
    <mergeCell ref="B18:D18"/>
    <mergeCell ref="B19:D19"/>
    <mergeCell ref="B27:D27"/>
    <mergeCell ref="B42:D42"/>
    <mergeCell ref="B44:D44"/>
    <mergeCell ref="B28:D28"/>
    <mergeCell ref="A67:A78"/>
    <mergeCell ref="A20:A29"/>
    <mergeCell ref="B35:D35"/>
    <mergeCell ref="A30:A35"/>
    <mergeCell ref="B58:D58"/>
    <mergeCell ref="A36:A48"/>
    <mergeCell ref="B48:D48"/>
    <mergeCell ref="B34:D34"/>
    <mergeCell ref="B57:D57"/>
    <mergeCell ref="B26:D26"/>
    <mergeCell ref="B32:D32"/>
    <mergeCell ref="B55:D55"/>
    <mergeCell ref="B77:D77"/>
    <mergeCell ref="C40:C41"/>
    <mergeCell ref="D40:D41"/>
    <mergeCell ref="B53:D53"/>
    <mergeCell ref="B59:B63"/>
    <mergeCell ref="B66:D66"/>
    <mergeCell ref="B78:D78"/>
    <mergeCell ref="A59:A66"/>
    <mergeCell ref="B72:D72"/>
    <mergeCell ref="B54:D54"/>
    <mergeCell ref="B51:D51"/>
    <mergeCell ref="B52:D52"/>
    <mergeCell ref="B346:D346"/>
    <mergeCell ref="B85:D85"/>
    <mergeCell ref="B79:B82"/>
    <mergeCell ref="C79:C82"/>
    <mergeCell ref="D79:D82"/>
    <mergeCell ref="B88:D88"/>
    <mergeCell ref="B108:D108"/>
    <mergeCell ref="B228:D228"/>
    <mergeCell ref="B224:D224"/>
    <mergeCell ref="B174:D174"/>
    <mergeCell ref="B149:D149"/>
    <mergeCell ref="B212:D212"/>
    <mergeCell ref="A210:J210"/>
    <mergeCell ref="B182:D182"/>
    <mergeCell ref="B173:D173"/>
    <mergeCell ref="B170:D170"/>
    <mergeCell ref="A211:A220"/>
    <mergeCell ref="B216:D216"/>
    <mergeCell ref="B178:D178"/>
    <mergeCell ref="B153:D153"/>
    <mergeCell ref="A79:A88"/>
    <mergeCell ref="A90:A99"/>
    <mergeCell ref="B95:D95"/>
    <mergeCell ref="B117:D117"/>
    <mergeCell ref="B403:D403"/>
    <mergeCell ref="B435:D435"/>
    <mergeCell ref="B439:D439"/>
    <mergeCell ref="B465:B467"/>
    <mergeCell ref="B408:D408"/>
    <mergeCell ref="B470:D470"/>
    <mergeCell ref="B444:D444"/>
    <mergeCell ref="B372:D372"/>
    <mergeCell ref="B396:D396"/>
    <mergeCell ref="B413:B427"/>
    <mergeCell ref="B451:D451"/>
    <mergeCell ref="B469:D469"/>
    <mergeCell ref="B412:D412"/>
    <mergeCell ref="B437:D437"/>
    <mergeCell ref="B455:D455"/>
    <mergeCell ref="B456:D456"/>
    <mergeCell ref="B464:D464"/>
    <mergeCell ref="C413:C427"/>
    <mergeCell ref="D413:D427"/>
    <mergeCell ref="B432:D432"/>
    <mergeCell ref="B431:D431"/>
    <mergeCell ref="B347:D347"/>
    <mergeCell ref="D229:D230"/>
    <mergeCell ref="B238:B239"/>
    <mergeCell ref="B350:D350"/>
    <mergeCell ref="B308:D308"/>
    <mergeCell ref="B191:D191"/>
    <mergeCell ref="B187:D187"/>
    <mergeCell ref="B195:B199"/>
    <mergeCell ref="D198:D199"/>
    <mergeCell ref="C198:C199"/>
    <mergeCell ref="B200:B201"/>
    <mergeCell ref="C200:C201"/>
    <mergeCell ref="D200:D201"/>
    <mergeCell ref="B220:D220"/>
    <mergeCell ref="B290:D290"/>
    <mergeCell ref="B271:D271"/>
    <mergeCell ref="B249:D249"/>
    <mergeCell ref="B248:D248"/>
    <mergeCell ref="B252:D252"/>
    <mergeCell ref="B269:D269"/>
    <mergeCell ref="B259:D259"/>
    <mergeCell ref="B285:D285"/>
    <mergeCell ref="B192:B193"/>
    <mergeCell ref="B188:D188"/>
    <mergeCell ref="B305:D305"/>
    <mergeCell ref="C597:C600"/>
    <mergeCell ref="B378:D378"/>
    <mergeCell ref="B498:D498"/>
    <mergeCell ref="A245:A259"/>
    <mergeCell ref="B231:B234"/>
    <mergeCell ref="C231:C234"/>
    <mergeCell ref="D231:D234"/>
    <mergeCell ref="C240:C242"/>
    <mergeCell ref="D240:D242"/>
    <mergeCell ref="A229:A237"/>
    <mergeCell ref="B244:D244"/>
    <mergeCell ref="A238:A244"/>
    <mergeCell ref="B328:D328"/>
    <mergeCell ref="B260:D260"/>
    <mergeCell ref="B273:D273"/>
    <mergeCell ref="B261:B268"/>
    <mergeCell ref="C262:C268"/>
    <mergeCell ref="D262:D268"/>
    <mergeCell ref="B297:D297"/>
    <mergeCell ref="B307:D307"/>
    <mergeCell ref="B325:D325"/>
    <mergeCell ref="B302:D302"/>
    <mergeCell ref="D515:D518"/>
    <mergeCell ref="C562:C563"/>
    <mergeCell ref="B489:D489"/>
    <mergeCell ref="B632:D632"/>
    <mergeCell ref="B349:D349"/>
    <mergeCell ref="B381:D381"/>
    <mergeCell ref="B410:D410"/>
    <mergeCell ref="B452:D452"/>
    <mergeCell ref="B515:B518"/>
    <mergeCell ref="C515:C518"/>
    <mergeCell ref="B404:D404"/>
    <mergeCell ref="B405:D405"/>
    <mergeCell ref="B400:D400"/>
    <mergeCell ref="B397:D397"/>
    <mergeCell ref="B454:D454"/>
    <mergeCell ref="B450:D450"/>
    <mergeCell ref="B472:D472"/>
    <mergeCell ref="B468:D468"/>
    <mergeCell ref="B526:D526"/>
    <mergeCell ref="B527:D527"/>
    <mergeCell ref="B524:D524"/>
    <mergeCell ref="B525:D525"/>
    <mergeCell ref="B402:D402"/>
    <mergeCell ref="B411:D411"/>
    <mergeCell ref="B407:D407"/>
    <mergeCell ref="B123:D123"/>
    <mergeCell ref="B160:D160"/>
    <mergeCell ref="B135:D135"/>
    <mergeCell ref="B119:D119"/>
    <mergeCell ref="B73:D73"/>
    <mergeCell ref="B107:D107"/>
    <mergeCell ref="B139:D139"/>
    <mergeCell ref="B131:D131"/>
    <mergeCell ref="B155:D155"/>
    <mergeCell ref="B146:D146"/>
    <mergeCell ref="B130:D130"/>
    <mergeCell ref="B113:D113"/>
    <mergeCell ref="B100:B102"/>
    <mergeCell ref="C100:C102"/>
    <mergeCell ref="D100:D102"/>
    <mergeCell ref="B161:D161"/>
    <mergeCell ref="B132:D132"/>
    <mergeCell ref="B143:D143"/>
    <mergeCell ref="B159:D159"/>
    <mergeCell ref="B162:D162"/>
    <mergeCell ref="B301:D301"/>
    <mergeCell ref="B281:D281"/>
    <mergeCell ref="B457:D457"/>
    <mergeCell ref="B395:D395"/>
    <mergeCell ref="B136:D136"/>
    <mergeCell ref="B148:D148"/>
    <mergeCell ref="B185:D185"/>
    <mergeCell ref="B205:D205"/>
    <mergeCell ref="B203:D203"/>
    <mergeCell ref="B140:D140"/>
    <mergeCell ref="B177:D177"/>
    <mergeCell ref="B152:D152"/>
    <mergeCell ref="B189:D189"/>
    <mergeCell ref="B144:D144"/>
    <mergeCell ref="B145:D145"/>
    <mergeCell ref="B151:D151"/>
    <mergeCell ref="B164:D164"/>
    <mergeCell ref="B176:D176"/>
    <mergeCell ref="B306:D306"/>
    <mergeCell ref="D562:D563"/>
    <mergeCell ref="B510:B514"/>
    <mergeCell ref="C511:C514"/>
    <mergeCell ref="D511:D514"/>
    <mergeCell ref="B591:B596"/>
    <mergeCell ref="C591:C596"/>
    <mergeCell ref="D591:D596"/>
    <mergeCell ref="B532:D532"/>
    <mergeCell ref="C581:D581"/>
    <mergeCell ref="B529:D529"/>
    <mergeCell ref="C569:C580"/>
    <mergeCell ref="D569:D580"/>
    <mergeCell ref="B569:B583"/>
    <mergeCell ref="C582:C583"/>
    <mergeCell ref="D582:D583"/>
    <mergeCell ref="B584:B590"/>
    <mergeCell ref="C584:C590"/>
    <mergeCell ref="D584:D590"/>
    <mergeCell ref="B549:B561"/>
    <mergeCell ref="C549:C561"/>
    <mergeCell ref="D549:D561"/>
    <mergeCell ref="B528:D528"/>
    <mergeCell ref="B521:D521"/>
    <mergeCell ref="B523:D523"/>
    <mergeCell ref="B502:D502"/>
    <mergeCell ref="B433:D433"/>
    <mergeCell ref="B500:D500"/>
    <mergeCell ref="B303:D303"/>
    <mergeCell ref="B315:D315"/>
    <mergeCell ref="B342:D342"/>
    <mergeCell ref="B406:D406"/>
    <mergeCell ref="B442:D443"/>
    <mergeCell ref="B441:D441"/>
    <mergeCell ref="B398:D398"/>
    <mergeCell ref="B399:D399"/>
    <mergeCell ref="B316:D316"/>
    <mergeCell ref="B317:D317"/>
    <mergeCell ref="B318:D318"/>
    <mergeCell ref="C322:C323"/>
    <mergeCell ref="B324:D324"/>
    <mergeCell ref="B332:D332"/>
    <mergeCell ref="B348:D348"/>
    <mergeCell ref="B380:D380"/>
    <mergeCell ref="B382:D382"/>
    <mergeCell ref="B343:D343"/>
    <mergeCell ref="C357:C358"/>
    <mergeCell ref="D357:D358"/>
    <mergeCell ref="B345:D345"/>
    <mergeCell ref="B501:D501"/>
    <mergeCell ref="B377:D377"/>
    <mergeCell ref="B270:D270"/>
    <mergeCell ref="B168:D168"/>
    <mergeCell ref="B295:D295"/>
    <mergeCell ref="B291:B292"/>
    <mergeCell ref="B258:D258"/>
    <mergeCell ref="B288:D288"/>
    <mergeCell ref="B257:D257"/>
    <mergeCell ref="B251:D251"/>
    <mergeCell ref="B254:D254"/>
    <mergeCell ref="B247:D247"/>
    <mergeCell ref="B246:D246"/>
    <mergeCell ref="B310:D310"/>
    <mergeCell ref="B314:D314"/>
    <mergeCell ref="B368:D368"/>
    <mergeCell ref="B401:D401"/>
    <mergeCell ref="B341:D341"/>
    <mergeCell ref="B344:D344"/>
    <mergeCell ref="B497:D497"/>
    <mergeCell ref="B436:D436"/>
    <mergeCell ref="B434:D434"/>
    <mergeCell ref="B438:D438"/>
    <mergeCell ref="D195:D197"/>
    <mergeCell ref="B65:D65"/>
    <mergeCell ref="C59:C63"/>
    <mergeCell ref="B76:D76"/>
    <mergeCell ref="B75:D75"/>
    <mergeCell ref="B116:D116"/>
    <mergeCell ref="B87:D87"/>
    <mergeCell ref="B129:D129"/>
    <mergeCell ref="B120:D120"/>
    <mergeCell ref="D59:D63"/>
    <mergeCell ref="B74:D74"/>
    <mergeCell ref="B103:D103"/>
    <mergeCell ref="B86:D86"/>
    <mergeCell ref="B99:D99"/>
    <mergeCell ref="B125:D125"/>
    <mergeCell ref="B114:D114"/>
    <mergeCell ref="B97:D97"/>
    <mergeCell ref="B115:D115"/>
    <mergeCell ref="B126:D126"/>
    <mergeCell ref="B118:D118"/>
    <mergeCell ref="B109:D109"/>
    <mergeCell ref="B106:D106"/>
    <mergeCell ref="B71:D71"/>
    <mergeCell ref="B92:D92"/>
    <mergeCell ref="B110:D110"/>
    <mergeCell ref="A118:A130"/>
    <mergeCell ref="B142:D142"/>
    <mergeCell ref="B138:D138"/>
    <mergeCell ref="B154:D154"/>
    <mergeCell ref="B150:D150"/>
    <mergeCell ref="B167:D167"/>
    <mergeCell ref="B163:D163"/>
    <mergeCell ref="A155:A167"/>
    <mergeCell ref="B124:D124"/>
    <mergeCell ref="B127:D127"/>
    <mergeCell ref="B137:D137"/>
    <mergeCell ref="B128:D128"/>
    <mergeCell ref="B133:D133"/>
    <mergeCell ref="B165:D165"/>
    <mergeCell ref="B121:D121"/>
    <mergeCell ref="B122:D122"/>
    <mergeCell ref="B134:D134"/>
    <mergeCell ref="B147:D147"/>
    <mergeCell ref="A131:A142"/>
    <mergeCell ref="A143:A154"/>
    <mergeCell ref="B141:D141"/>
    <mergeCell ref="B166:D166"/>
    <mergeCell ref="B156:D156"/>
    <mergeCell ref="B157:D157"/>
    <mergeCell ref="B654:D654"/>
    <mergeCell ref="B653:D653"/>
    <mergeCell ref="B641:D641"/>
    <mergeCell ref="B642:D642"/>
    <mergeCell ref="B639:D639"/>
    <mergeCell ref="B649:D649"/>
    <mergeCell ref="B637:D637"/>
    <mergeCell ref="B638:D638"/>
    <mergeCell ref="B635:B636"/>
    <mergeCell ref="C635:C636"/>
    <mergeCell ref="B647:D647"/>
    <mergeCell ref="B645:D645"/>
    <mergeCell ref="B650:D650"/>
    <mergeCell ref="B646:D646"/>
    <mergeCell ref="B640:D640"/>
    <mergeCell ref="B643:D643"/>
    <mergeCell ref="B644:D644"/>
    <mergeCell ref="B651:D651"/>
    <mergeCell ref="B648:D648"/>
    <mergeCell ref="B617:D617"/>
    <mergeCell ref="B624:D624"/>
    <mergeCell ref="B623:D623"/>
    <mergeCell ref="D613:D614"/>
    <mergeCell ref="B625:D625"/>
    <mergeCell ref="B627:D627"/>
    <mergeCell ref="B628:D628"/>
    <mergeCell ref="B613:B614"/>
    <mergeCell ref="B618:D618"/>
    <mergeCell ref="B440:D440"/>
    <mergeCell ref="B458:D458"/>
    <mergeCell ref="B478:D478"/>
    <mergeCell ref="B445:D445"/>
    <mergeCell ref="B494:D494"/>
    <mergeCell ref="B463:D463"/>
    <mergeCell ref="B482:D482"/>
    <mergeCell ref="B453:D453"/>
    <mergeCell ref="B477:D477"/>
    <mergeCell ref="B480:D480"/>
    <mergeCell ref="B460:D460"/>
    <mergeCell ref="B461:D461"/>
    <mergeCell ref="B459:D459"/>
    <mergeCell ref="B481:D481"/>
    <mergeCell ref="B479:D479"/>
    <mergeCell ref="B491:D491"/>
    <mergeCell ref="B483:D483"/>
    <mergeCell ref="A9:J9"/>
    <mergeCell ref="B15:D15"/>
    <mergeCell ref="B20:D20"/>
    <mergeCell ref="B21:D21"/>
    <mergeCell ref="B22:D22"/>
    <mergeCell ref="B50:D50"/>
    <mergeCell ref="B14:D14"/>
    <mergeCell ref="B24:D24"/>
    <mergeCell ref="B36:B37"/>
    <mergeCell ref="C36:C37"/>
    <mergeCell ref="B10:D10"/>
    <mergeCell ref="B11:D11"/>
    <mergeCell ref="B12:D12"/>
    <mergeCell ref="C30:C31"/>
    <mergeCell ref="D30:D31"/>
    <mergeCell ref="B40:B41"/>
    <mergeCell ref="B16:D16"/>
    <mergeCell ref="B45:D45"/>
    <mergeCell ref="A10:A19"/>
    <mergeCell ref="B29:D29"/>
    <mergeCell ref="B47:D47"/>
    <mergeCell ref="B43:D43"/>
    <mergeCell ref="B33:D33"/>
    <mergeCell ref="A49:A58"/>
    <mergeCell ref="A2:J2"/>
    <mergeCell ref="A3:J3"/>
    <mergeCell ref="A4:J4"/>
    <mergeCell ref="A7:A8"/>
    <mergeCell ref="B7:C7"/>
    <mergeCell ref="D7:D8"/>
    <mergeCell ref="E7:E8"/>
    <mergeCell ref="F7:G7"/>
    <mergeCell ref="H7:H8"/>
    <mergeCell ref="I7:J7"/>
    <mergeCell ref="A5:J5"/>
    <mergeCell ref="B179:D179"/>
    <mergeCell ref="B175:D175"/>
    <mergeCell ref="B180:D180"/>
    <mergeCell ref="B181:D181"/>
    <mergeCell ref="B171:D171"/>
    <mergeCell ref="B158:D158"/>
    <mergeCell ref="B169:D169"/>
    <mergeCell ref="B172:D172"/>
    <mergeCell ref="B520:D520"/>
    <mergeCell ref="B519:D519"/>
    <mergeCell ref="B304:D304"/>
    <mergeCell ref="B339:D339"/>
    <mergeCell ref="C291:C292"/>
    <mergeCell ref="D291:D292"/>
    <mergeCell ref="B370:D370"/>
    <mergeCell ref="B473:D473"/>
    <mergeCell ref="D362:D364"/>
    <mergeCell ref="B462:D462"/>
    <mergeCell ref="B475:D475"/>
    <mergeCell ref="B493:D493"/>
    <mergeCell ref="B337:D337"/>
    <mergeCell ref="B338:D338"/>
    <mergeCell ref="C360:C361"/>
    <mergeCell ref="B357:B361"/>
    <mergeCell ref="B490:D490"/>
    <mergeCell ref="B484:B487"/>
    <mergeCell ref="C484:C487"/>
    <mergeCell ref="D484:D487"/>
    <mergeCell ref="B471:D471"/>
    <mergeCell ref="B488:D488"/>
    <mergeCell ref="B474:D474"/>
    <mergeCell ref="B633:D633"/>
    <mergeCell ref="B629:D629"/>
    <mergeCell ref="D597:D600"/>
    <mergeCell ref="B601:B605"/>
    <mergeCell ref="C601:C605"/>
    <mergeCell ref="D601:D605"/>
    <mergeCell ref="B606:B609"/>
    <mergeCell ref="C607:C609"/>
    <mergeCell ref="D607:D609"/>
    <mergeCell ref="C613:C614"/>
    <mergeCell ref="B495:D495"/>
    <mergeCell ref="B476:D476"/>
    <mergeCell ref="B631:D631"/>
    <mergeCell ref="B620:D620"/>
    <mergeCell ref="B621:D621"/>
    <mergeCell ref="B622:D622"/>
    <mergeCell ref="B616:D616"/>
    <mergeCell ref="A666:J666"/>
    <mergeCell ref="A657:J657"/>
    <mergeCell ref="A661:J661"/>
    <mergeCell ref="A793:J793"/>
    <mergeCell ref="B652:D652"/>
    <mergeCell ref="B362:B364"/>
    <mergeCell ref="B496:D496"/>
    <mergeCell ref="B610:B612"/>
    <mergeCell ref="C610:C612"/>
    <mergeCell ref="D610:D612"/>
    <mergeCell ref="B409:D409"/>
    <mergeCell ref="B385:B389"/>
    <mergeCell ref="C385:C389"/>
    <mergeCell ref="D385:D389"/>
    <mergeCell ref="B535:B548"/>
    <mergeCell ref="C548:D548"/>
    <mergeCell ref="B507:D507"/>
    <mergeCell ref="C362:C364"/>
    <mergeCell ref="B499:D499"/>
    <mergeCell ref="A659:A660"/>
    <mergeCell ref="B659:C659"/>
    <mergeCell ref="D659:D660"/>
    <mergeCell ref="E659:E660"/>
    <mergeCell ref="F659:G659"/>
    <mergeCell ref="H659:H660"/>
    <mergeCell ref="I659:J659"/>
    <mergeCell ref="A662:A664"/>
    <mergeCell ref="B662:B663"/>
    <mergeCell ref="C662:C663"/>
    <mergeCell ref="D662:D663"/>
    <mergeCell ref="B208:D208"/>
    <mergeCell ref="B253:D253"/>
    <mergeCell ref="B300:D300"/>
    <mergeCell ref="B235:D235"/>
    <mergeCell ref="B222:D222"/>
    <mergeCell ref="B226:D226"/>
    <mergeCell ref="B237:D237"/>
    <mergeCell ref="B279:D279"/>
    <mergeCell ref="B250:D250"/>
    <mergeCell ref="B221:D221"/>
    <mergeCell ref="B245:D245"/>
    <mergeCell ref="B236:D236"/>
    <mergeCell ref="B243:D243"/>
    <mergeCell ref="B227:D227"/>
    <mergeCell ref="B229:B230"/>
    <mergeCell ref="B217:D217"/>
    <mergeCell ref="C229:C230"/>
    <mergeCell ref="B275:D275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65" fitToHeight="0" orientation="landscape" r:id="rId1"/>
  <colBreaks count="1" manualBreakCount="1">
    <brk id="10" max="792" man="1"/>
  </colBreaks>
  <customProperties>
    <customPr name="EpmWorksheetKeyString_GUID" r:id="rId2"/>
  </customProperties>
  <ignoredErrors>
    <ignoredError sqref="G80:G8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ИП 2012-2018, 2019-2024</vt:lpstr>
      <vt:lpstr>'ИП 2012-2018, 2019-2024'!Заголовки_для_печати</vt:lpstr>
      <vt:lpstr>'ИП 2012-2018, 2019-2024'!Область_печати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2021-02-11T13:00:05Z</dcterms:modified>
</cp:coreProperties>
</file>