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95" windowWidth="11340" windowHeight="6075" tabRatio="792" firstSheet="1" activeTab="1"/>
  </bookViews>
  <sheets>
    <sheet name="табл1Паспорт ГП" sheetId="60" state="hidden" r:id="rId1"/>
    <sheet name="1 индикаторы" sheetId="51" r:id="rId2"/>
    <sheet name="2 индикаторы" sheetId="61" r:id="rId3"/>
    <sheet name="3 бюджет" sheetId="44" r:id="rId4"/>
    <sheet name="4 бюджет" sheetId="62" r:id="rId5"/>
    <sheet name="5 финансирование" sheetId="45" r:id="rId6"/>
    <sheet name="6 финансирование" sheetId="63" r:id="rId7"/>
  </sheets>
  <definedNames>
    <definedName name="_xlnm._FilterDatabase" localSheetId="3" hidden="1">'3 бюджет'!$A$8:$K$43</definedName>
    <definedName name="_xlnm.Print_Titles" localSheetId="1">'1 индикаторы'!$6:$7</definedName>
    <definedName name="_xlnm.Print_Titles" localSheetId="2">'2 индикаторы'!$6:$7</definedName>
    <definedName name="_xlnm.Print_Titles" localSheetId="3">'3 бюджет'!$6:$7</definedName>
    <definedName name="_xlnm.Print_Titles" localSheetId="5">'5 финансирование'!$11:$12</definedName>
    <definedName name="_xlnm.Print_Titles" localSheetId="6">'6 финансирование'!$11:$12</definedName>
    <definedName name="_xlnm.Print_Titles" localSheetId="0">'табл1Паспорт ГП'!#REF!</definedName>
    <definedName name="_xlnm.Print_Area" localSheetId="1">'1 индикаторы'!$A$1:$Q$30</definedName>
    <definedName name="_xlnm.Print_Area" localSheetId="2">'2 индикаторы'!$A$1:$K$30</definedName>
    <definedName name="_xlnm.Print_Area" localSheetId="3">'3 бюджет'!$A$1:$O$65</definedName>
    <definedName name="_xlnm.Print_Area" localSheetId="4">'4 бюджет'!$A$1:$J$61</definedName>
    <definedName name="_xlnm.Print_Area" localSheetId="5">'5 финансирование'!$A$3:$O$164</definedName>
    <definedName name="_xlnm.Print_Area" localSheetId="6">'6 финансирование'!$A$1:$J$166</definedName>
    <definedName name="_xlnm.Print_Area" localSheetId="0">'табл1Паспорт ГП'!$A$1:$B$89</definedName>
  </definedNames>
  <calcPr calcId="145621"/>
</workbook>
</file>

<file path=xl/calcChain.xml><?xml version="1.0" encoding="utf-8"?>
<calcChain xmlns="http://schemas.openxmlformats.org/spreadsheetml/2006/main">
  <c r="O44" i="44" l="1"/>
  <c r="N44" i="44"/>
  <c r="S17" i="45" l="1"/>
  <c r="S16" i="45"/>
  <c r="S15" i="45"/>
  <c r="S14" i="45"/>
  <c r="S13" i="45"/>
  <c r="D113" i="63"/>
  <c r="L116" i="63" l="1"/>
  <c r="D116" i="63"/>
  <c r="O41" i="45" l="1"/>
  <c r="O71" i="45"/>
  <c r="O90" i="45"/>
  <c r="O91" i="45"/>
  <c r="O155" i="45"/>
  <c r="N155" i="45"/>
  <c r="E71" i="63"/>
  <c r="E21" i="63"/>
  <c r="E16" i="63" s="1"/>
  <c r="E41" i="63"/>
  <c r="E31" i="63"/>
  <c r="E36" i="63"/>
  <c r="E80" i="63"/>
  <c r="E91" i="63"/>
  <c r="N28" i="45" l="1"/>
  <c r="N46" i="45"/>
  <c r="N91" i="45"/>
  <c r="M53" i="44"/>
  <c r="E21" i="62" l="1"/>
  <c r="E33" i="62"/>
  <c r="E49" i="62"/>
  <c r="O23" i="44"/>
  <c r="O35" i="44"/>
  <c r="O52" i="44"/>
  <c r="N23" i="44"/>
  <c r="N52" i="44"/>
  <c r="N35" i="44"/>
  <c r="N17" i="44" l="1"/>
  <c r="E15" i="63" l="1"/>
  <c r="N151" i="45"/>
  <c r="N20" i="45"/>
  <c r="O20" i="45"/>
  <c r="M20" i="45"/>
  <c r="E126" i="63" l="1"/>
  <c r="O126" i="45"/>
  <c r="N126" i="45"/>
  <c r="N41" i="45"/>
  <c r="N71" i="45"/>
  <c r="N90" i="45"/>
  <c r="E146" i="63"/>
  <c r="O146" i="45"/>
  <c r="N146" i="45"/>
  <c r="N150" i="45"/>
  <c r="N15" i="45" s="1"/>
  <c r="N158" i="45"/>
  <c r="M22" i="45" l="1"/>
  <c r="M17" i="45" s="1"/>
  <c r="M21" i="45"/>
  <c r="M19" i="45"/>
  <c r="M14" i="45" s="1"/>
  <c r="M23" i="45"/>
  <c r="M28" i="45"/>
  <c r="M33" i="45"/>
  <c r="M38" i="45"/>
  <c r="M43" i="45"/>
  <c r="M48" i="45"/>
  <c r="M58" i="45"/>
  <c r="M63" i="45"/>
  <c r="M68" i="45"/>
  <c r="M73" i="45"/>
  <c r="M79" i="45"/>
  <c r="M78" i="45" s="1"/>
  <c r="M80" i="45"/>
  <c r="M81" i="45"/>
  <c r="M82" i="45"/>
  <c r="M83" i="45"/>
  <c r="M88" i="45"/>
  <c r="M93" i="45"/>
  <c r="M98" i="45"/>
  <c r="M103" i="45"/>
  <c r="M108" i="45"/>
  <c r="M116" i="45"/>
  <c r="M113" i="45" s="1"/>
  <c r="M118" i="45"/>
  <c r="M123" i="45"/>
  <c r="M133" i="45"/>
  <c r="M143" i="45"/>
  <c r="M150" i="45"/>
  <c r="M148" i="45" s="1"/>
  <c r="M151" i="45"/>
  <c r="M158" i="45"/>
  <c r="M153" i="45"/>
  <c r="M152" i="45"/>
  <c r="M162" i="45"/>
  <c r="M15" i="45" l="1"/>
  <c r="M16" i="45"/>
  <c r="M13" i="45" s="1"/>
  <c r="M18" i="45"/>
  <c r="F123" i="63"/>
  <c r="G123" i="63"/>
  <c r="D37" i="44"/>
  <c r="N33" i="44" l="1"/>
  <c r="M12" i="44" l="1"/>
  <c r="M33" i="44" l="1"/>
  <c r="Q91" i="45"/>
  <c r="E18" i="44" l="1"/>
  <c r="F18" i="44"/>
  <c r="G18" i="44"/>
  <c r="H18" i="44"/>
  <c r="I18" i="44"/>
  <c r="J18" i="44"/>
  <c r="K18" i="44"/>
  <c r="L18" i="44"/>
  <c r="M18" i="44"/>
  <c r="N18" i="44"/>
  <c r="O18" i="44"/>
  <c r="D18" i="44" l="1"/>
  <c r="E83" i="63" l="1"/>
  <c r="E9" i="62" l="1"/>
  <c r="N38" i="45" l="1"/>
  <c r="S34" i="45"/>
  <c r="R23" i="44"/>
  <c r="R36" i="44"/>
  <c r="M17" i="44"/>
  <c r="M21" i="44"/>
  <c r="M44" i="44"/>
  <c r="M13" i="44"/>
  <c r="M16" i="44" l="1"/>
  <c r="E116" i="63" l="1"/>
  <c r="E10" i="62"/>
  <c r="E11" i="62"/>
  <c r="E12" i="62"/>
  <c r="E15" i="62"/>
  <c r="F34" i="62" l="1"/>
  <c r="G34" i="62" s="1"/>
  <c r="H34" i="62" s="1"/>
  <c r="I34" i="62" s="1"/>
  <c r="J34" i="62" s="1"/>
  <c r="E38" i="62"/>
  <c r="E13" i="62" s="1"/>
  <c r="E39" i="62"/>
  <c r="E14" i="62" s="1"/>
  <c r="F15" i="62"/>
  <c r="F23" i="63"/>
  <c r="G23" i="63"/>
  <c r="E42" i="63"/>
  <c r="F42" i="63" s="1"/>
  <c r="G42" i="63" s="1"/>
  <c r="H42" i="63" s="1"/>
  <c r="I42" i="63" s="1"/>
  <c r="J42" i="63" s="1"/>
  <c r="F58" i="63"/>
  <c r="F68" i="63"/>
  <c r="G93" i="63"/>
  <c r="E102" i="63"/>
  <c r="F102" i="63" s="1"/>
  <c r="G102" i="63" s="1"/>
  <c r="H102" i="63" s="1"/>
  <c r="I102" i="63" s="1"/>
  <c r="J102" i="63" s="1"/>
  <c r="E107" i="63"/>
  <c r="F107" i="63" s="1"/>
  <c r="G107" i="63" s="1"/>
  <c r="H107" i="63" s="1"/>
  <c r="I107" i="63" s="1"/>
  <c r="J107" i="63" s="1"/>
  <c r="F112" i="63"/>
  <c r="G112" i="63" s="1"/>
  <c r="H112" i="63" s="1"/>
  <c r="I112" i="63" s="1"/>
  <c r="J112" i="63" s="1"/>
  <c r="E112" i="63"/>
  <c r="F39" i="62" l="1"/>
  <c r="F14" i="62" s="1"/>
  <c r="F38" i="62"/>
  <c r="F13" i="62" s="1"/>
  <c r="J116" i="63"/>
  <c r="G116" i="63"/>
  <c r="G113" i="63" s="1"/>
  <c r="G153" i="63"/>
  <c r="I81" i="63"/>
  <c r="H51" i="63"/>
  <c r="I51" i="63" s="1"/>
  <c r="J51" i="63" s="1"/>
  <c r="G48" i="63"/>
  <c r="F48" i="63"/>
  <c r="D107" i="63"/>
  <c r="G38" i="62" l="1"/>
  <c r="G13" i="62" s="1"/>
  <c r="G39" i="62"/>
  <c r="G14" i="62"/>
  <c r="H39" i="62"/>
  <c r="G15" i="62"/>
  <c r="H38" i="62"/>
  <c r="D162" i="63"/>
  <c r="D161" i="63"/>
  <c r="D160" i="63"/>
  <c r="D159" i="63"/>
  <c r="D157" i="63"/>
  <c r="D156" i="63"/>
  <c r="D155" i="63"/>
  <c r="D154" i="63"/>
  <c r="D152" i="63"/>
  <c r="D149" i="63"/>
  <c r="D147" i="63"/>
  <c r="D146" i="63"/>
  <c r="D145" i="63"/>
  <c r="D144" i="63"/>
  <c r="D142" i="63"/>
  <c r="D141" i="63"/>
  <c r="D140" i="63"/>
  <c r="D139" i="63"/>
  <c r="D138" i="63"/>
  <c r="D137" i="63"/>
  <c r="D136" i="63"/>
  <c r="D135" i="63"/>
  <c r="D134" i="63"/>
  <c r="D132" i="63"/>
  <c r="D131" i="63"/>
  <c r="D130" i="63"/>
  <c r="D129" i="63"/>
  <c r="D127" i="63"/>
  <c r="D126" i="63"/>
  <c r="D125" i="63"/>
  <c r="D124" i="63"/>
  <c r="D122" i="63"/>
  <c r="D121" i="63"/>
  <c r="D120" i="63"/>
  <c r="D119" i="63"/>
  <c r="D112" i="63"/>
  <c r="D111" i="63"/>
  <c r="D110" i="63"/>
  <c r="D109" i="63"/>
  <c r="D106" i="63"/>
  <c r="D105" i="63"/>
  <c r="D104" i="63"/>
  <c r="D102" i="63"/>
  <c r="D101" i="63"/>
  <c r="D100" i="63"/>
  <c r="D99" i="63"/>
  <c r="D97" i="63"/>
  <c r="D96" i="63"/>
  <c r="D95" i="63"/>
  <c r="D94" i="63"/>
  <c r="D92" i="63"/>
  <c r="D91" i="63"/>
  <c r="D90" i="63"/>
  <c r="D89" i="63"/>
  <c r="D87" i="63"/>
  <c r="D86" i="63"/>
  <c r="D85" i="63"/>
  <c r="D84" i="63"/>
  <c r="D77" i="63"/>
  <c r="D76" i="63"/>
  <c r="D74" i="63"/>
  <c r="D72" i="63"/>
  <c r="D71" i="63"/>
  <c r="D70" i="63"/>
  <c r="D69" i="63"/>
  <c r="D67" i="63"/>
  <c r="D66" i="63"/>
  <c r="D65" i="63"/>
  <c r="D64" i="63"/>
  <c r="D62" i="63"/>
  <c r="D61" i="63"/>
  <c r="D60" i="63"/>
  <c r="D59" i="63"/>
  <c r="D57" i="63"/>
  <c r="D56" i="63"/>
  <c r="D55" i="63"/>
  <c r="D54" i="63"/>
  <c r="D53" i="63"/>
  <c r="D52" i="63"/>
  <c r="D51" i="63"/>
  <c r="D50" i="63"/>
  <c r="D49" i="63"/>
  <c r="D47" i="63"/>
  <c r="D46" i="63"/>
  <c r="D45" i="63"/>
  <c r="D44" i="63"/>
  <c r="D42" i="63"/>
  <c r="D41" i="63"/>
  <c r="D40" i="63"/>
  <c r="D39" i="63"/>
  <c r="D36" i="63"/>
  <c r="D37" i="63"/>
  <c r="D35" i="63"/>
  <c r="D34" i="63"/>
  <c r="D32" i="63"/>
  <c r="D31" i="63"/>
  <c r="D30" i="63"/>
  <c r="D29" i="63"/>
  <c r="D27" i="63"/>
  <c r="D26" i="63"/>
  <c r="D25" i="63"/>
  <c r="D24" i="63"/>
  <c r="D53" i="62"/>
  <c r="D54" i="62"/>
  <c r="D55" i="62"/>
  <c r="D56" i="62"/>
  <c r="D57" i="62"/>
  <c r="D58" i="62"/>
  <c r="D52" i="62"/>
  <c r="D35" i="62"/>
  <c r="D36" i="62"/>
  <c r="D37" i="62"/>
  <c r="D40" i="62"/>
  <c r="D33" i="62"/>
  <c r="D22" i="62"/>
  <c r="D23" i="62"/>
  <c r="D24" i="62"/>
  <c r="D25" i="62"/>
  <c r="D26" i="62"/>
  <c r="D27" i="62"/>
  <c r="D28" i="62"/>
  <c r="D29" i="62"/>
  <c r="D30" i="62"/>
  <c r="D21" i="62"/>
  <c r="D18" i="62"/>
  <c r="J158" i="63"/>
  <c r="I158" i="63"/>
  <c r="H158" i="63"/>
  <c r="F158" i="63"/>
  <c r="E158" i="63"/>
  <c r="J153" i="63"/>
  <c r="I153" i="63"/>
  <c r="H153" i="63"/>
  <c r="F153" i="63"/>
  <c r="E153" i="63"/>
  <c r="J151" i="63"/>
  <c r="I151" i="63"/>
  <c r="H151" i="63"/>
  <c r="G151" i="63"/>
  <c r="F151" i="63"/>
  <c r="E151" i="63"/>
  <c r="J150" i="63"/>
  <c r="I150" i="63"/>
  <c r="I148" i="63" s="1"/>
  <c r="H150" i="63"/>
  <c r="H148" i="63" s="1"/>
  <c r="G150" i="63"/>
  <c r="F150" i="63"/>
  <c r="E150" i="63"/>
  <c r="E148" i="63" s="1"/>
  <c r="J143" i="63"/>
  <c r="I143" i="63"/>
  <c r="H143" i="63"/>
  <c r="G143" i="63"/>
  <c r="F143" i="63"/>
  <c r="E143" i="63"/>
  <c r="J133" i="63"/>
  <c r="I133" i="63"/>
  <c r="H133" i="63"/>
  <c r="D133" i="63" s="1"/>
  <c r="J128" i="63"/>
  <c r="I128" i="63"/>
  <c r="H128" i="63"/>
  <c r="E128" i="63"/>
  <c r="D128" i="63" s="1"/>
  <c r="J123" i="63"/>
  <c r="I123" i="63"/>
  <c r="H123" i="63"/>
  <c r="E123" i="63"/>
  <c r="J118" i="63"/>
  <c r="I118" i="63"/>
  <c r="H118" i="63"/>
  <c r="F118" i="63"/>
  <c r="E118" i="63"/>
  <c r="J117" i="63"/>
  <c r="I117" i="63"/>
  <c r="H117" i="63"/>
  <c r="F117" i="63"/>
  <c r="E117" i="63"/>
  <c r="I116" i="63"/>
  <c r="H116" i="63"/>
  <c r="F116" i="63"/>
  <c r="J115" i="63"/>
  <c r="I115" i="63"/>
  <c r="H115" i="63"/>
  <c r="F115" i="63"/>
  <c r="E115" i="63"/>
  <c r="J114" i="63"/>
  <c r="I114" i="63"/>
  <c r="H114" i="63"/>
  <c r="F114" i="63"/>
  <c r="E114" i="63"/>
  <c r="J108" i="63"/>
  <c r="I108" i="63"/>
  <c r="H108" i="63"/>
  <c r="G108" i="63"/>
  <c r="F108" i="63"/>
  <c r="E108" i="63"/>
  <c r="J103" i="63"/>
  <c r="I103" i="63"/>
  <c r="H103" i="63"/>
  <c r="G103" i="63"/>
  <c r="F103" i="63"/>
  <c r="E103" i="63"/>
  <c r="J98" i="63"/>
  <c r="I98" i="63"/>
  <c r="H98" i="63"/>
  <c r="G98" i="63"/>
  <c r="F98" i="63"/>
  <c r="E98" i="63"/>
  <c r="J93" i="63"/>
  <c r="I93" i="63"/>
  <c r="H93" i="63"/>
  <c r="F93" i="63"/>
  <c r="E93" i="63"/>
  <c r="J88" i="63"/>
  <c r="I88" i="63"/>
  <c r="H88" i="63"/>
  <c r="G88" i="63"/>
  <c r="F88" i="63"/>
  <c r="E88" i="63"/>
  <c r="J83" i="63"/>
  <c r="I83" i="63"/>
  <c r="H83" i="63"/>
  <c r="G83" i="63"/>
  <c r="F83" i="63"/>
  <c r="J82" i="63"/>
  <c r="I82" i="63"/>
  <c r="H82" i="63"/>
  <c r="G82" i="63"/>
  <c r="F82" i="63"/>
  <c r="E82" i="63"/>
  <c r="J81" i="63"/>
  <c r="H81" i="63"/>
  <c r="G81" i="63"/>
  <c r="G78" i="63" s="1"/>
  <c r="F81" i="63"/>
  <c r="E81" i="63"/>
  <c r="I80" i="63"/>
  <c r="H80" i="63"/>
  <c r="F80" i="63"/>
  <c r="D80" i="63"/>
  <c r="J79" i="63"/>
  <c r="I79" i="63"/>
  <c r="H79" i="63"/>
  <c r="F79" i="63"/>
  <c r="E79" i="63"/>
  <c r="J73" i="63"/>
  <c r="I73" i="63"/>
  <c r="H73" i="63"/>
  <c r="G73" i="63"/>
  <c r="F73" i="63"/>
  <c r="E73" i="63"/>
  <c r="J68" i="63"/>
  <c r="I68" i="63"/>
  <c r="H68" i="63"/>
  <c r="G68" i="63"/>
  <c r="E68" i="63"/>
  <c r="J63" i="63"/>
  <c r="I63" i="63"/>
  <c r="H63" i="63"/>
  <c r="G63" i="63"/>
  <c r="F63" i="63"/>
  <c r="E63" i="63"/>
  <c r="J58" i="63"/>
  <c r="I58" i="63"/>
  <c r="H58" i="63"/>
  <c r="G58" i="63"/>
  <c r="E58" i="63"/>
  <c r="J48" i="63"/>
  <c r="I48" i="63"/>
  <c r="H48" i="63"/>
  <c r="E48" i="63"/>
  <c r="J43" i="63"/>
  <c r="I43" i="63"/>
  <c r="H43" i="63"/>
  <c r="G43" i="63"/>
  <c r="F43" i="63"/>
  <c r="E43" i="63"/>
  <c r="J38" i="63"/>
  <c r="I38" i="63"/>
  <c r="H38" i="63"/>
  <c r="G38" i="63"/>
  <c r="F38" i="63"/>
  <c r="E38" i="63"/>
  <c r="M34" i="63"/>
  <c r="K33" i="63"/>
  <c r="J33" i="63"/>
  <c r="I33" i="63"/>
  <c r="H33" i="63"/>
  <c r="G33" i="63"/>
  <c r="F33" i="63"/>
  <c r="E33" i="63"/>
  <c r="K31" i="63"/>
  <c r="J28" i="63"/>
  <c r="I28" i="63"/>
  <c r="H28" i="63"/>
  <c r="G28" i="63"/>
  <c r="F28" i="63"/>
  <c r="E28" i="63"/>
  <c r="J23" i="63"/>
  <c r="I23" i="63"/>
  <c r="H23" i="63"/>
  <c r="E23" i="63"/>
  <c r="J22" i="63"/>
  <c r="I22" i="63"/>
  <c r="H22" i="63"/>
  <c r="G22" i="63"/>
  <c r="F22" i="63"/>
  <c r="E22" i="63"/>
  <c r="J21" i="63"/>
  <c r="I21" i="63"/>
  <c r="H21" i="63"/>
  <c r="G21" i="63"/>
  <c r="F21" i="63"/>
  <c r="J20" i="63"/>
  <c r="I20" i="63"/>
  <c r="H20" i="63"/>
  <c r="G20" i="63"/>
  <c r="F20" i="63"/>
  <c r="J19" i="63"/>
  <c r="I19" i="63"/>
  <c r="H19" i="63"/>
  <c r="F19" i="63"/>
  <c r="E19" i="63"/>
  <c r="H17" i="63"/>
  <c r="M15" i="63"/>
  <c r="L15" i="63"/>
  <c r="K15" i="63"/>
  <c r="K14" i="63" s="1"/>
  <c r="J50" i="62"/>
  <c r="I50" i="62"/>
  <c r="H50" i="62"/>
  <c r="H41" i="62" s="1"/>
  <c r="G50" i="62"/>
  <c r="F50" i="62"/>
  <c r="E50" i="62"/>
  <c r="D49" i="62"/>
  <c r="D47" i="62"/>
  <c r="D46" i="62"/>
  <c r="D45" i="62"/>
  <c r="D44" i="62"/>
  <c r="D43" i="62"/>
  <c r="G41" i="62"/>
  <c r="F41" i="62"/>
  <c r="E41" i="62"/>
  <c r="L34" i="62"/>
  <c r="G31" i="62"/>
  <c r="F31" i="62"/>
  <c r="E31" i="62"/>
  <c r="L21" i="62"/>
  <c r="J19" i="62"/>
  <c r="I19" i="62"/>
  <c r="H19" i="62"/>
  <c r="G19" i="62"/>
  <c r="F19" i="62"/>
  <c r="E19" i="62"/>
  <c r="J17" i="62"/>
  <c r="I17" i="62"/>
  <c r="H17" i="62"/>
  <c r="G17" i="62"/>
  <c r="F17" i="62"/>
  <c r="I16" i="62"/>
  <c r="H16" i="62"/>
  <c r="G16" i="62"/>
  <c r="F16" i="62"/>
  <c r="J12" i="62"/>
  <c r="I12" i="62"/>
  <c r="H12" i="62"/>
  <c r="G12" i="62"/>
  <c r="F12" i="62"/>
  <c r="J11" i="62"/>
  <c r="I11" i="62"/>
  <c r="H11" i="62"/>
  <c r="G11" i="62"/>
  <c r="F11" i="62"/>
  <c r="J10" i="62"/>
  <c r="I10" i="62"/>
  <c r="H10" i="62"/>
  <c r="G10" i="62"/>
  <c r="F10" i="62"/>
  <c r="K9" i="62"/>
  <c r="J9" i="62"/>
  <c r="I9" i="62"/>
  <c r="H9" i="62"/>
  <c r="G9" i="62"/>
  <c r="F9" i="62"/>
  <c r="L7" i="62"/>
  <c r="M14" i="61"/>
  <c r="M13" i="61"/>
  <c r="D58" i="63" l="1"/>
  <c r="D79" i="63"/>
  <c r="H78" i="63"/>
  <c r="G17" i="63"/>
  <c r="D151" i="63"/>
  <c r="D108" i="63"/>
  <c r="F148" i="63"/>
  <c r="F15" i="63" s="1"/>
  <c r="J148" i="63"/>
  <c r="D158" i="63"/>
  <c r="H14" i="62"/>
  <c r="I39" i="62"/>
  <c r="G148" i="63"/>
  <c r="G15" i="63" s="1"/>
  <c r="D153" i="63"/>
  <c r="D83" i="63"/>
  <c r="H15" i="62"/>
  <c r="D23" i="63"/>
  <c r="J14" i="63"/>
  <c r="D63" i="63"/>
  <c r="E14" i="63"/>
  <c r="D93" i="63"/>
  <c r="F14" i="63"/>
  <c r="D114" i="63"/>
  <c r="D117" i="63"/>
  <c r="F113" i="63"/>
  <c r="H14" i="63"/>
  <c r="I38" i="62"/>
  <c r="H13" i="62"/>
  <c r="H31" i="62"/>
  <c r="D50" i="62"/>
  <c r="H18" i="63"/>
  <c r="D115" i="63"/>
  <c r="I15" i="63"/>
  <c r="D11" i="62"/>
  <c r="D16" i="62"/>
  <c r="D17" i="62"/>
  <c r="D10" i="62"/>
  <c r="D12" i="62"/>
  <c r="E7" i="62"/>
  <c r="D9" i="62"/>
  <c r="D28" i="63"/>
  <c r="D33" i="63"/>
  <c r="J17" i="63"/>
  <c r="F18" i="63"/>
  <c r="F17" i="63"/>
  <c r="D22" i="63"/>
  <c r="D38" i="63"/>
  <c r="D43" i="63"/>
  <c r="D48" i="63"/>
  <c r="G18" i="63"/>
  <c r="D68" i="63"/>
  <c r="J18" i="63"/>
  <c r="I17" i="63"/>
  <c r="E18" i="63"/>
  <c r="D20" i="63"/>
  <c r="I18" i="63"/>
  <c r="I16" i="63"/>
  <c r="D73" i="63"/>
  <c r="D21" i="63"/>
  <c r="F16" i="63"/>
  <c r="D88" i="63"/>
  <c r="J78" i="63"/>
  <c r="H16" i="63"/>
  <c r="J16" i="63"/>
  <c r="D81" i="63"/>
  <c r="D98" i="63"/>
  <c r="D103" i="63"/>
  <c r="I78" i="63"/>
  <c r="D82" i="63"/>
  <c r="E17" i="63"/>
  <c r="E78" i="63"/>
  <c r="D118" i="63"/>
  <c r="J113" i="63"/>
  <c r="D123" i="63"/>
  <c r="G16" i="63"/>
  <c r="E113" i="63"/>
  <c r="D143" i="63"/>
  <c r="H113" i="63"/>
  <c r="I113" i="63"/>
  <c r="H15" i="63"/>
  <c r="D150" i="63"/>
  <c r="D19" i="63"/>
  <c r="D19" i="62"/>
  <c r="J15" i="63"/>
  <c r="I14" i="63"/>
  <c r="F78" i="63"/>
  <c r="F7" i="62"/>
  <c r="G7" i="62"/>
  <c r="K17" i="63" l="1"/>
  <c r="L17" i="63" s="1"/>
  <c r="D148" i="63"/>
  <c r="D17" i="63"/>
  <c r="D14" i="63"/>
  <c r="I14" i="62"/>
  <c r="J39" i="62"/>
  <c r="J14" i="62" s="1"/>
  <c r="D16" i="63"/>
  <c r="K16" i="63"/>
  <c r="D15" i="63"/>
  <c r="G13" i="63"/>
  <c r="I15" i="62"/>
  <c r="I41" i="62"/>
  <c r="H13" i="63"/>
  <c r="H7" i="62"/>
  <c r="I13" i="62"/>
  <c r="J38" i="62"/>
  <c r="I31" i="62"/>
  <c r="D38" i="62"/>
  <c r="F13" i="63"/>
  <c r="J13" i="63"/>
  <c r="I13" i="63"/>
  <c r="D78" i="63"/>
  <c r="E13" i="63"/>
  <c r="D18" i="63"/>
  <c r="D14" i="62" l="1"/>
  <c r="D39" i="62"/>
  <c r="D31" i="62" s="1"/>
  <c r="I7" i="62"/>
  <c r="J15" i="62"/>
  <c r="D15" i="62" s="1"/>
  <c r="J41" i="62"/>
  <c r="D41" i="62" s="1"/>
  <c r="D48" i="62"/>
  <c r="J13" i="62"/>
  <c r="J31" i="62"/>
  <c r="D13" i="63"/>
  <c r="J7" i="62" l="1"/>
  <c r="K7" i="62" s="1"/>
  <c r="D13" i="62"/>
  <c r="D7" i="62" s="1"/>
  <c r="N16" i="44"/>
  <c r="O16" i="44"/>
  <c r="N33" i="45"/>
  <c r="O33" i="45"/>
  <c r="M11" i="44"/>
  <c r="O123" i="45"/>
  <c r="L53" i="44" l="1"/>
  <c r="L19" i="45"/>
  <c r="L20" i="45"/>
  <c r="L21" i="45"/>
  <c r="L22" i="45"/>
  <c r="L23" i="45"/>
  <c r="L28" i="45"/>
  <c r="L33" i="45"/>
  <c r="L38" i="45"/>
  <c r="L43" i="45"/>
  <c r="L48" i="45"/>
  <c r="L58" i="45"/>
  <c r="L63" i="45"/>
  <c r="L68" i="45"/>
  <c r="L73" i="45"/>
  <c r="L79" i="45"/>
  <c r="L80" i="45"/>
  <c r="L82" i="45"/>
  <c r="L83" i="45"/>
  <c r="L88" i="45"/>
  <c r="L81" i="45"/>
  <c r="L93" i="45"/>
  <c r="L98" i="45"/>
  <c r="L103" i="45"/>
  <c r="L108" i="45"/>
  <c r="L116" i="45"/>
  <c r="L113" i="45" s="1"/>
  <c r="L118" i="45"/>
  <c r="L123" i="45"/>
  <c r="L128" i="45"/>
  <c r="L133" i="45"/>
  <c r="L143" i="45"/>
  <c r="L150" i="45"/>
  <c r="L151" i="45"/>
  <c r="L153" i="45"/>
  <c r="L158" i="45"/>
  <c r="L148" i="45" l="1"/>
  <c r="L16" i="45"/>
  <c r="L18" i="45"/>
  <c r="L78" i="45"/>
  <c r="L17" i="45"/>
  <c r="L15" i="45"/>
  <c r="L14" i="45"/>
  <c r="L13" i="45" l="1"/>
  <c r="D56" i="44" l="1"/>
  <c r="D57" i="44"/>
  <c r="D58" i="44"/>
  <c r="D59" i="44"/>
  <c r="D60" i="44"/>
  <c r="D61" i="44"/>
  <c r="D55" i="44"/>
  <c r="D53" i="44" l="1"/>
  <c r="L12" i="44"/>
  <c r="L13" i="44"/>
  <c r="L17" i="44"/>
  <c r="L19" i="44"/>
  <c r="L33" i="44"/>
  <c r="L21" i="44"/>
  <c r="Q36" i="44" l="1"/>
  <c r="L16" i="44" l="1"/>
  <c r="L14" i="44"/>
  <c r="L15" i="44"/>
  <c r="L11" i="44"/>
  <c r="Q23" i="44" l="1"/>
  <c r="L10" i="44" l="1"/>
  <c r="R34" i="45" l="1"/>
  <c r="N12" i="44"/>
  <c r="O12" i="44"/>
  <c r="D47" i="44"/>
  <c r="P31" i="45" l="1"/>
  <c r="K35" i="44" l="1"/>
  <c r="N21" i="45" l="1"/>
  <c r="N16" i="45" s="1"/>
  <c r="K21" i="45"/>
  <c r="L44" i="44"/>
  <c r="K48" i="45" l="1"/>
  <c r="J148" i="45" l="1"/>
  <c r="E148" i="45"/>
  <c r="F151" i="45"/>
  <c r="G151" i="45"/>
  <c r="H151" i="45"/>
  <c r="I151" i="45"/>
  <c r="J151" i="45"/>
  <c r="K151" i="45"/>
  <c r="O151" i="45"/>
  <c r="E151" i="45"/>
  <c r="F150" i="45"/>
  <c r="F148" i="45" s="1"/>
  <c r="G150" i="45"/>
  <c r="G148" i="45" s="1"/>
  <c r="H150" i="45"/>
  <c r="H148" i="45" s="1"/>
  <c r="I150" i="45"/>
  <c r="I148" i="45" s="1"/>
  <c r="J150" i="45"/>
  <c r="K150" i="45"/>
  <c r="K148" i="45" s="1"/>
  <c r="O150" i="45"/>
  <c r="E150" i="45"/>
  <c r="O158" i="45"/>
  <c r="D162" i="45"/>
  <c r="D161" i="45"/>
  <c r="D160" i="45"/>
  <c r="D159" i="45"/>
  <c r="K158" i="45"/>
  <c r="J158" i="45"/>
  <c r="I158" i="45"/>
  <c r="H158" i="45"/>
  <c r="F158" i="45"/>
  <c r="E158" i="45"/>
  <c r="D157" i="45"/>
  <c r="D156" i="45"/>
  <c r="D155" i="45"/>
  <c r="D154" i="45"/>
  <c r="O153" i="45"/>
  <c r="N153" i="45"/>
  <c r="K153" i="45"/>
  <c r="J153" i="45"/>
  <c r="I153" i="45"/>
  <c r="H153" i="45"/>
  <c r="F153" i="45"/>
  <c r="E153" i="45"/>
  <c r="O148" i="45" l="1"/>
  <c r="N148" i="45"/>
  <c r="D153" i="45"/>
  <c r="D158" i="45"/>
  <c r="K19" i="45" l="1"/>
  <c r="K22" i="45"/>
  <c r="K23" i="45"/>
  <c r="K28" i="45"/>
  <c r="K33" i="45"/>
  <c r="K38" i="45"/>
  <c r="K43" i="45"/>
  <c r="K58" i="45"/>
  <c r="K63" i="45"/>
  <c r="K68" i="45"/>
  <c r="K75" i="45"/>
  <c r="K20" i="45" s="1"/>
  <c r="K79" i="45"/>
  <c r="K80" i="45"/>
  <c r="K81" i="45"/>
  <c r="K82" i="45"/>
  <c r="K83" i="45"/>
  <c r="K88" i="45"/>
  <c r="K93" i="45"/>
  <c r="K98" i="45"/>
  <c r="K103" i="45"/>
  <c r="K108" i="45"/>
  <c r="K114" i="45"/>
  <c r="K115" i="45"/>
  <c r="K116" i="45"/>
  <c r="K117" i="45"/>
  <c r="K118" i="45"/>
  <c r="K123" i="45"/>
  <c r="K128" i="45"/>
  <c r="K133" i="45"/>
  <c r="K143" i="45"/>
  <c r="K14" i="45" l="1"/>
  <c r="K15" i="45"/>
  <c r="K16" i="45"/>
  <c r="K78" i="45"/>
  <c r="K17" i="45"/>
  <c r="K113" i="45"/>
  <c r="K13" i="45"/>
  <c r="K73" i="45"/>
  <c r="K18" i="45"/>
  <c r="K23" i="44" l="1"/>
  <c r="K33" i="44" l="1"/>
  <c r="K16" i="44" l="1"/>
  <c r="K15" i="44"/>
  <c r="S13" i="51"/>
  <c r="S12" i="51"/>
  <c r="P33" i="45" l="1"/>
  <c r="J20" i="45" l="1"/>
  <c r="J21" i="45" l="1"/>
  <c r="D144" i="45" l="1"/>
  <c r="D145" i="45"/>
  <c r="D146" i="45"/>
  <c r="D147" i="45"/>
  <c r="D149" i="45"/>
  <c r="D150" i="45"/>
  <c r="D151" i="45"/>
  <c r="D152" i="45"/>
  <c r="D137" i="45"/>
  <c r="D138" i="45"/>
  <c r="D139" i="45"/>
  <c r="D140" i="45"/>
  <c r="D141" i="45"/>
  <c r="D142" i="45"/>
  <c r="D129" i="45"/>
  <c r="D130" i="45"/>
  <c r="D131" i="45"/>
  <c r="D132" i="45"/>
  <c r="D134" i="45"/>
  <c r="D135" i="45"/>
  <c r="D136" i="45"/>
  <c r="D122" i="45"/>
  <c r="D124" i="45"/>
  <c r="D125" i="45"/>
  <c r="D126" i="45"/>
  <c r="D127" i="45"/>
  <c r="D119" i="45"/>
  <c r="D120" i="45"/>
  <c r="D121" i="45"/>
  <c r="D109" i="45"/>
  <c r="D110" i="45"/>
  <c r="D111" i="45"/>
  <c r="D112" i="45"/>
  <c r="D104" i="45"/>
  <c r="D105" i="45"/>
  <c r="D106" i="45"/>
  <c r="D107" i="45"/>
  <c r="D96" i="45"/>
  <c r="D97" i="45"/>
  <c r="D99" i="45"/>
  <c r="D100" i="45"/>
  <c r="D101" i="45"/>
  <c r="D102" i="45"/>
  <c r="D87" i="45"/>
  <c r="D89" i="45"/>
  <c r="D90" i="45"/>
  <c r="D91" i="45"/>
  <c r="D92" i="45"/>
  <c r="D94" i="45"/>
  <c r="D95" i="45"/>
  <c r="D84" i="45"/>
  <c r="D85" i="45"/>
  <c r="D86" i="45"/>
  <c r="D74" i="45"/>
  <c r="D75" i="45"/>
  <c r="D76" i="45"/>
  <c r="D77" i="45"/>
  <c r="D69" i="45"/>
  <c r="D70" i="45"/>
  <c r="D71" i="45"/>
  <c r="D72" i="45"/>
  <c r="D64" i="45"/>
  <c r="D65" i="45"/>
  <c r="D66" i="45"/>
  <c r="D67" i="45"/>
  <c r="D59" i="45"/>
  <c r="D60" i="45"/>
  <c r="D61" i="45"/>
  <c r="D62" i="45"/>
  <c r="D49" i="45"/>
  <c r="D50" i="45"/>
  <c r="D51" i="45"/>
  <c r="D52" i="45"/>
  <c r="D53" i="45"/>
  <c r="D54" i="45"/>
  <c r="D55" i="45"/>
  <c r="D56" i="45"/>
  <c r="D57" i="45"/>
  <c r="D44" i="45"/>
  <c r="D45" i="45"/>
  <c r="D46" i="45"/>
  <c r="D47" i="45"/>
  <c r="D39" i="45"/>
  <c r="D40" i="45"/>
  <c r="D41" i="45"/>
  <c r="D42" i="45"/>
  <c r="D34" i="45"/>
  <c r="D35" i="45"/>
  <c r="D36" i="45"/>
  <c r="D37" i="45"/>
  <c r="D29" i="45"/>
  <c r="D30" i="45"/>
  <c r="D31" i="45"/>
  <c r="D32" i="45"/>
  <c r="D24" i="45"/>
  <c r="D25" i="45"/>
  <c r="D26" i="45"/>
  <c r="D27" i="45"/>
  <c r="D52" i="44"/>
  <c r="D51" i="44"/>
  <c r="D50" i="44"/>
  <c r="D49" i="44"/>
  <c r="D48" i="44"/>
  <c r="D46" i="44"/>
  <c r="D38" i="44"/>
  <c r="D39" i="44"/>
  <c r="D40" i="44"/>
  <c r="D41" i="44"/>
  <c r="D42" i="44"/>
  <c r="D43" i="44"/>
  <c r="D35" i="44"/>
  <c r="D24" i="44"/>
  <c r="D25" i="44"/>
  <c r="D26" i="44"/>
  <c r="D27" i="44"/>
  <c r="D28" i="44"/>
  <c r="D29" i="44"/>
  <c r="D30" i="44"/>
  <c r="D31" i="44"/>
  <c r="D32" i="44"/>
  <c r="D23" i="44"/>
  <c r="D20" i="44"/>
  <c r="D33" i="44" l="1"/>
  <c r="D21" i="44"/>
  <c r="N116" i="45"/>
  <c r="O116" i="45"/>
  <c r="I116" i="45"/>
  <c r="H116" i="45"/>
  <c r="N79" i="45" l="1"/>
  <c r="O79" i="45"/>
  <c r="N80" i="45"/>
  <c r="O80" i="45"/>
  <c r="O15" i="45" s="1"/>
  <c r="N81" i="45"/>
  <c r="O81" i="45"/>
  <c r="N82" i="45"/>
  <c r="O82" i="45"/>
  <c r="N113" i="45"/>
  <c r="O113" i="45"/>
  <c r="N23" i="45"/>
  <c r="O23" i="45"/>
  <c r="O28" i="45"/>
  <c r="O38" i="45"/>
  <c r="N43" i="45"/>
  <c r="O43" i="45"/>
  <c r="N48" i="45"/>
  <c r="O48" i="45"/>
  <c r="N58" i="45"/>
  <c r="O58" i="45"/>
  <c r="N63" i="45"/>
  <c r="O63" i="45"/>
  <c r="N68" i="45"/>
  <c r="O68" i="45"/>
  <c r="N73" i="45"/>
  <c r="O73" i="45"/>
  <c r="N83" i="45"/>
  <c r="O83" i="45"/>
  <c r="N88" i="45"/>
  <c r="O88" i="45"/>
  <c r="N93" i="45"/>
  <c r="O93" i="45"/>
  <c r="N98" i="45"/>
  <c r="O98" i="45"/>
  <c r="N103" i="45"/>
  <c r="O103" i="45"/>
  <c r="N108" i="45"/>
  <c r="O108" i="45"/>
  <c r="N118" i="45"/>
  <c r="O118" i="45"/>
  <c r="N123" i="45"/>
  <c r="N128" i="45"/>
  <c r="O128" i="45"/>
  <c r="N133" i="45"/>
  <c r="O133" i="45"/>
  <c r="N143" i="45"/>
  <c r="O143" i="45"/>
  <c r="N78" i="45" l="1"/>
  <c r="O78" i="45"/>
  <c r="M19" i="44" l="1"/>
  <c r="N19" i="44"/>
  <c r="O19" i="44"/>
  <c r="O17" i="44"/>
  <c r="M15" i="44"/>
  <c r="N15" i="44"/>
  <c r="O15" i="44"/>
  <c r="M14" i="44"/>
  <c r="N14" i="44"/>
  <c r="O14" i="44"/>
  <c r="N13" i="44"/>
  <c r="O13" i="44"/>
  <c r="N11" i="44"/>
  <c r="O11" i="44"/>
  <c r="M10" i="44"/>
  <c r="N10" i="44"/>
  <c r="O10" i="44"/>
  <c r="N21" i="44"/>
  <c r="O21" i="44"/>
  <c r="O33" i="44"/>
  <c r="N53" i="44"/>
  <c r="O53" i="44"/>
  <c r="M8" i="44" l="1"/>
  <c r="L8" i="44"/>
  <c r="Q8" i="44" s="1"/>
  <c r="O8" i="44"/>
  <c r="N8" i="44"/>
  <c r="P12" i="44" s="1"/>
  <c r="N22" i="45"/>
  <c r="N17" i="45" s="1"/>
  <c r="O22" i="45"/>
  <c r="P15" i="45"/>
  <c r="O21" i="45"/>
  <c r="N19" i="45"/>
  <c r="N14" i="45" s="1"/>
  <c r="O19" i="45"/>
  <c r="O14" i="45" s="1"/>
  <c r="O16" i="45" l="1"/>
  <c r="R15" i="45" s="1"/>
  <c r="N18" i="45"/>
  <c r="O18" i="45"/>
  <c r="O17" i="45"/>
  <c r="P16" i="45"/>
  <c r="Q16" i="45" s="1"/>
  <c r="I21" i="45"/>
  <c r="I22" i="45"/>
  <c r="O13" i="45" l="1"/>
  <c r="N13" i="45"/>
  <c r="Q15" i="45"/>
  <c r="P14" i="45"/>
  <c r="I20" i="45"/>
  <c r="I11" i="44" l="1"/>
  <c r="I15" i="44" l="1"/>
  <c r="I14" i="44"/>
  <c r="I13" i="44"/>
  <c r="I44" i="44"/>
  <c r="I17" i="44" l="1"/>
  <c r="I19" i="44" l="1"/>
  <c r="J19" i="44"/>
  <c r="J73" i="45" l="1"/>
  <c r="I23" i="45"/>
  <c r="J23" i="45"/>
  <c r="I58" i="45" l="1"/>
  <c r="J58" i="45"/>
  <c r="I16" i="44" l="1"/>
  <c r="J16" i="44"/>
  <c r="H20" i="45"/>
  <c r="H58" i="45" l="1"/>
  <c r="H16" i="44" l="1"/>
  <c r="H19" i="44"/>
  <c r="K17" i="44" l="1"/>
  <c r="I73" i="45" l="1"/>
  <c r="H73" i="45"/>
  <c r="G17" i="44" l="1"/>
  <c r="H17" i="44"/>
  <c r="F17" i="44"/>
  <c r="D17" i="44" s="1"/>
  <c r="F53" i="44"/>
  <c r="G53" i="44"/>
  <c r="H53" i="44"/>
  <c r="I53" i="44"/>
  <c r="J53" i="44"/>
  <c r="K53" i="44"/>
  <c r="E53" i="44"/>
  <c r="J116" i="45" l="1"/>
  <c r="I133" i="45"/>
  <c r="J133" i="45"/>
  <c r="I128" i="45"/>
  <c r="J128" i="45"/>
  <c r="J44" i="44"/>
  <c r="K44" i="44"/>
  <c r="H44" i="44"/>
  <c r="H108" i="45" l="1"/>
  <c r="I108" i="45"/>
  <c r="J108" i="45"/>
  <c r="H103" i="45"/>
  <c r="I103" i="45"/>
  <c r="J103" i="45"/>
  <c r="H98" i="45"/>
  <c r="I98" i="45"/>
  <c r="J98" i="45"/>
  <c r="H22" i="45" l="1"/>
  <c r="J22" i="45"/>
  <c r="G22" i="45"/>
  <c r="G82" i="45"/>
  <c r="G108" i="45"/>
  <c r="G103" i="45"/>
  <c r="G98" i="45"/>
  <c r="G17" i="45" l="1"/>
  <c r="H23" i="45"/>
  <c r="H128" i="45"/>
  <c r="H133" i="45"/>
  <c r="D133" i="45" s="1"/>
  <c r="G23" i="45"/>
  <c r="G43" i="45"/>
  <c r="G58" i="45"/>
  <c r="G63" i="45"/>
  <c r="G83" i="45"/>
  <c r="G88" i="45"/>
  <c r="G123" i="45"/>
  <c r="G143" i="45"/>
  <c r="G20" i="45"/>
  <c r="G15" i="45" s="1"/>
  <c r="G21" i="45"/>
  <c r="G28" i="45"/>
  <c r="G33" i="45"/>
  <c r="G38" i="45"/>
  <c r="G68" i="45"/>
  <c r="G73" i="45"/>
  <c r="G81" i="45"/>
  <c r="G78" i="45" s="1"/>
  <c r="G116" i="45"/>
  <c r="G113" i="45" s="1"/>
  <c r="G18" i="45" l="1"/>
  <c r="G16" i="45"/>
  <c r="G13" i="45" l="1"/>
  <c r="G19" i="44"/>
  <c r="G44" i="44" l="1"/>
  <c r="G11" i="44" l="1"/>
  <c r="G16" i="44"/>
  <c r="H19" i="45" l="1"/>
  <c r="I19" i="45"/>
  <c r="I18" i="45" s="1"/>
  <c r="J19" i="45"/>
  <c r="J18" i="45" s="1"/>
  <c r="H21" i="45"/>
  <c r="H28" i="45"/>
  <c r="I28" i="45"/>
  <c r="J28" i="45"/>
  <c r="H33" i="45"/>
  <c r="I33" i="45"/>
  <c r="J33" i="45"/>
  <c r="H38" i="45"/>
  <c r="I38" i="45"/>
  <c r="J38" i="45"/>
  <c r="H43" i="45"/>
  <c r="I43" i="45"/>
  <c r="J43" i="45"/>
  <c r="H48" i="45"/>
  <c r="I48" i="45"/>
  <c r="J48" i="45"/>
  <c r="H63" i="45"/>
  <c r="I63" i="45"/>
  <c r="J63" i="45"/>
  <c r="H68" i="45"/>
  <c r="I68" i="45"/>
  <c r="J68" i="45"/>
  <c r="H79" i="45"/>
  <c r="I79" i="45"/>
  <c r="J79" i="45"/>
  <c r="H80" i="45"/>
  <c r="I80" i="45"/>
  <c r="J80" i="45"/>
  <c r="H82" i="45"/>
  <c r="H17" i="45" s="1"/>
  <c r="I82" i="45"/>
  <c r="I17" i="45" s="1"/>
  <c r="J82" i="45"/>
  <c r="J17" i="45" s="1"/>
  <c r="H83" i="45"/>
  <c r="I83" i="45"/>
  <c r="J83" i="45"/>
  <c r="H93" i="45"/>
  <c r="I93" i="45"/>
  <c r="J93" i="45"/>
  <c r="H114" i="45"/>
  <c r="I114" i="45"/>
  <c r="J114" i="45"/>
  <c r="H115" i="45"/>
  <c r="I115" i="45"/>
  <c r="I15" i="45" s="1"/>
  <c r="J115" i="45"/>
  <c r="H117" i="45"/>
  <c r="I117" i="45"/>
  <c r="J117" i="45"/>
  <c r="H118" i="45"/>
  <c r="I118" i="45"/>
  <c r="J118" i="45"/>
  <c r="H123" i="45"/>
  <c r="I123" i="45"/>
  <c r="J123" i="45"/>
  <c r="H143" i="45"/>
  <c r="I143" i="45"/>
  <c r="J143" i="45"/>
  <c r="H15" i="45"/>
  <c r="J15" i="45" l="1"/>
  <c r="H18" i="45"/>
  <c r="H113" i="45"/>
  <c r="J14" i="45"/>
  <c r="I14" i="45"/>
  <c r="J113" i="45"/>
  <c r="H14" i="45"/>
  <c r="I113" i="45"/>
  <c r="F82" i="45" l="1"/>
  <c r="F22" i="45"/>
  <c r="F28" i="45" l="1"/>
  <c r="F38" i="45" l="1"/>
  <c r="G12" i="44" l="1"/>
  <c r="G13" i="44"/>
  <c r="G14" i="44"/>
  <c r="G15" i="44"/>
  <c r="F16" i="44"/>
  <c r="F19" i="44"/>
  <c r="D19" i="44" s="1"/>
  <c r="F44" i="44"/>
  <c r="D148" i="45" l="1"/>
  <c r="E88" i="45" l="1"/>
  <c r="E38" i="45" l="1"/>
  <c r="D38" i="45" s="1"/>
  <c r="E28" i="45"/>
  <c r="D28" i="45" s="1"/>
  <c r="E116" i="45" l="1"/>
  <c r="E16" i="44"/>
  <c r="D16" i="44" s="1"/>
  <c r="E44" i="44"/>
  <c r="D44" i="44" s="1"/>
  <c r="F79" i="45" l="1"/>
  <c r="E79" i="45"/>
  <c r="F80" i="45"/>
  <c r="E80" i="45"/>
  <c r="F81" i="45"/>
  <c r="E81" i="45"/>
  <c r="E82" i="45"/>
  <c r="D82" i="45" s="1"/>
  <c r="F114" i="45"/>
  <c r="E114" i="45"/>
  <c r="D114" i="45" s="1"/>
  <c r="F115" i="45"/>
  <c r="E115" i="45"/>
  <c r="D115" i="45" s="1"/>
  <c r="F117" i="45"/>
  <c r="E117" i="45"/>
  <c r="D117" i="45" s="1"/>
  <c r="D79" i="45" l="1"/>
  <c r="D80" i="45"/>
  <c r="E113" i="45"/>
  <c r="E15" i="45"/>
  <c r="K11" i="44"/>
  <c r="J11" i="44"/>
  <c r="H11" i="44"/>
  <c r="F11" i="44"/>
  <c r="E11" i="44"/>
  <c r="D11" i="44" l="1"/>
  <c r="F15" i="44"/>
  <c r="H15" i="44"/>
  <c r="J15" i="44"/>
  <c r="E15" i="44"/>
  <c r="F14" i="44"/>
  <c r="H14" i="44"/>
  <c r="J14" i="44"/>
  <c r="K14" i="44"/>
  <c r="E14" i="44"/>
  <c r="F13" i="44"/>
  <c r="H13" i="44"/>
  <c r="J13" i="44"/>
  <c r="K13" i="44"/>
  <c r="E13" i="44"/>
  <c r="F12" i="44"/>
  <c r="H12" i="44"/>
  <c r="I12" i="44"/>
  <c r="J12" i="44"/>
  <c r="K12" i="44"/>
  <c r="E12" i="44"/>
  <c r="D14" i="44" l="1"/>
  <c r="D15" i="44"/>
  <c r="D12" i="44"/>
  <c r="D13" i="44"/>
  <c r="F10" i="44"/>
  <c r="G10" i="44"/>
  <c r="H10" i="44"/>
  <c r="H8" i="44" s="1"/>
  <c r="I10" i="44"/>
  <c r="I8" i="44" s="1"/>
  <c r="J10" i="44"/>
  <c r="K10" i="44"/>
  <c r="E10" i="44"/>
  <c r="F33" i="44"/>
  <c r="G33" i="44"/>
  <c r="H33" i="44"/>
  <c r="I33" i="44"/>
  <c r="J33" i="44"/>
  <c r="E33" i="44"/>
  <c r="F21" i="44"/>
  <c r="G21" i="44"/>
  <c r="H21" i="44"/>
  <c r="I21" i="44"/>
  <c r="J21" i="44"/>
  <c r="K21" i="44"/>
  <c r="E21" i="44"/>
  <c r="K8" i="44" l="1"/>
  <c r="P10" i="44"/>
  <c r="D10" i="44"/>
  <c r="J88" i="45"/>
  <c r="J81" i="45"/>
  <c r="I81" i="45"/>
  <c r="I88" i="45"/>
  <c r="H81" i="45"/>
  <c r="H88" i="45"/>
  <c r="G8" i="44"/>
  <c r="J8" i="44"/>
  <c r="F8" i="44"/>
  <c r="J16" i="45" l="1"/>
  <c r="J13" i="45" s="1"/>
  <c r="D81" i="45"/>
  <c r="I78" i="45"/>
  <c r="I16" i="45"/>
  <c r="J78" i="45"/>
  <c r="H78" i="45"/>
  <c r="H16" i="45"/>
  <c r="F21" i="45"/>
  <c r="E21" i="45"/>
  <c r="D21" i="45" s="1"/>
  <c r="E8" i="44"/>
  <c r="P8" i="44" l="1"/>
  <c r="D8" i="44"/>
  <c r="I13" i="45"/>
  <c r="H13" i="45"/>
  <c r="F88" i="45"/>
  <c r="D88" i="45" s="1"/>
  <c r="E128" i="45" l="1"/>
  <c r="D128" i="45" s="1"/>
  <c r="F116" i="45"/>
  <c r="D116" i="45" s="1"/>
  <c r="E16" i="45" l="1"/>
  <c r="E22" i="45"/>
  <c r="D22" i="45" s="1"/>
  <c r="F18" i="45"/>
  <c r="F20" i="45"/>
  <c r="D20" i="45" s="1"/>
  <c r="E19" i="45"/>
  <c r="F19" i="45"/>
  <c r="D19" i="45"/>
  <c r="F108" i="45"/>
  <c r="E108" i="45"/>
  <c r="F103" i="45"/>
  <c r="E103" i="45"/>
  <c r="F98" i="45"/>
  <c r="E98" i="45"/>
  <c r="F93" i="45"/>
  <c r="E93" i="45"/>
  <c r="D93" i="45" l="1"/>
  <c r="D103" i="45"/>
  <c r="D18" i="45"/>
  <c r="D98" i="45"/>
  <c r="D108" i="45"/>
  <c r="F16" i="45"/>
  <c r="D16" i="45" s="1"/>
  <c r="D14" i="45"/>
  <c r="E17" i="45"/>
  <c r="F14" i="45"/>
  <c r="E14" i="45"/>
  <c r="F15" i="45"/>
  <c r="D15" i="45" s="1"/>
  <c r="F17" i="45"/>
  <c r="F78" i="45"/>
  <c r="E78" i="45"/>
  <c r="D78" i="45" s="1"/>
  <c r="D17" i="45" l="1"/>
  <c r="E68" i="45"/>
  <c r="D68" i="45" s="1"/>
  <c r="F63" i="45" l="1"/>
  <c r="E63" i="45"/>
  <c r="D63" i="45" s="1"/>
  <c r="E23" i="45" l="1"/>
  <c r="D23" i="45" s="1"/>
  <c r="F83" i="45"/>
  <c r="D83" i="45" s="1"/>
  <c r="F113" i="45"/>
  <c r="D113" i="45" s="1"/>
  <c r="E118" i="45"/>
  <c r="F118" i="45"/>
  <c r="E123" i="45"/>
  <c r="D123" i="45" s="1"/>
  <c r="D118" i="45" l="1"/>
  <c r="E73" i="45"/>
  <c r="F143" i="45" l="1"/>
  <c r="E143" i="45"/>
  <c r="F73" i="45"/>
  <c r="D73" i="45" s="1"/>
  <c r="E58" i="45"/>
  <c r="D58" i="45" s="1"/>
  <c r="F43" i="45"/>
  <c r="E48" i="45"/>
  <c r="D48" i="45" s="1"/>
  <c r="E43" i="45"/>
  <c r="D43" i="45" s="1"/>
  <c r="D143" i="45" l="1"/>
  <c r="F13" i="45"/>
  <c r="F33" i="45"/>
  <c r="E33" i="45"/>
  <c r="D33" i="45" l="1"/>
  <c r="E18" i="45"/>
  <c r="E13" i="45"/>
  <c r="D13" i="45" s="1"/>
</calcChain>
</file>

<file path=xl/sharedStrings.xml><?xml version="1.0" encoding="utf-8"?>
<sst xmlns="http://schemas.openxmlformats.org/spreadsheetml/2006/main" count="975" uniqueCount="347">
  <si>
    <t>всего</t>
  </si>
  <si>
    <t>№ п/п</t>
  </si>
  <si>
    <t>1</t>
  </si>
  <si>
    <t>Наименование показателя (индикатора)</t>
  </si>
  <si>
    <t>Ед. измерения</t>
  </si>
  <si>
    <t>Статус</t>
  </si>
  <si>
    <t>федеральный бюджет</t>
  </si>
  <si>
    <t>областной бюджет</t>
  </si>
  <si>
    <t>Источники ресурсного обеспечения</t>
  </si>
  <si>
    <t xml:space="preserve">федеральный бюджет </t>
  </si>
  <si>
    <t xml:space="preserve">Основное мероприятие 1 </t>
  </si>
  <si>
    <t>Основное мероприятие 2</t>
  </si>
  <si>
    <t xml:space="preserve">Основное мероприятие 2 </t>
  </si>
  <si>
    <t>Ответственный исполнитель муниципальной программы</t>
  </si>
  <si>
    <t>Соисполнители муниципальной программы</t>
  </si>
  <si>
    <t>Основные разработчики муниципальной программы</t>
  </si>
  <si>
    <t>Значения показателя (индикатора) по годам реализации муниципальной программы</t>
  </si>
  <si>
    <t xml:space="preserve">Наименование муниципальной программы, подпрограммы, основного мероприятия </t>
  </si>
  <si>
    <t>Наименование ответственного исполнителя, исполнителя - главного распорядителя средств бюджета городского округа город Воронеж (далее - ГРБС)</t>
  </si>
  <si>
    <t>Расходы бюджета городского округа город Воронеж по годам реализации муниципальной программы, тыс. руб.</t>
  </si>
  <si>
    <t>Муниципальная программа</t>
  </si>
  <si>
    <t>Оценка расходов по годам реализации муниципальной программы, тыс. руб.</t>
  </si>
  <si>
    <t>внебюджетные источники</t>
  </si>
  <si>
    <t>Приложение 2
к Порядку разработки и реализации муниципальных программ городского округа город Воронеж</t>
  </si>
  <si>
    <t>бюджет городского округа</t>
  </si>
  <si>
    <t>Основное мероприятие 1</t>
  </si>
  <si>
    <t>ПАСПОРТ
муниципальной программы городского округа город Воронеж
"Охрана окружающей среды"</t>
  </si>
  <si>
    <t>шт.</t>
  </si>
  <si>
    <t>чел.</t>
  </si>
  <si>
    <t>Основное мероприятие 3</t>
  </si>
  <si>
    <t>Обеспечение муниципальных учреждений социальной сферы качественной питьевой водой: установка и техобслуживание систем доочистки воды</t>
  </si>
  <si>
    <t>Исследование и ликвидация очагов загрязнения окружающей среды</t>
  </si>
  <si>
    <t>Исследование влияния на окружающую среду полигонов и накопителей крупнотоннажных отходов</t>
  </si>
  <si>
    <t xml:space="preserve">Пункт Федерального плана
 статистических работ
</t>
  </si>
  <si>
    <t>20000</t>
  </si>
  <si>
    <t>22000</t>
  </si>
  <si>
    <t>2,0</t>
  </si>
  <si>
    <t>56</t>
  </si>
  <si>
    <t>Формирование и межевание земельных участков, занимаемых озелененными территориями общего пользования, постановка их на кадастровый учет</t>
  </si>
  <si>
    <t xml:space="preserve">Озеленение территорий городского округа </t>
  </si>
  <si>
    <t xml:space="preserve">Контроль эффективности работы газоочистного оборудования и работы очистных сооружений сточных вод на предприятиях городского округа </t>
  </si>
  <si>
    <t xml:space="preserve">Исполняющий обязанности руководителя управления экологии администрации городского округа город Воронеж </t>
  </si>
  <si>
    <t>Всего</t>
  </si>
  <si>
    <t>Замеры выбросов загрязняющих веществ в атмосферу, отбор проб сточных и природных вод и почвогрунтов в определенных точках, в том числе разовые при возникновении чрезвычайных ситуаций, техногенных аварий, сопровождающихся загрязнением окружающей среды, а также при работе с обращениями граждан</t>
  </si>
  <si>
    <t xml:space="preserve">Основное мероприятие 1 «Сохранение и развитие зеленого </t>
  </si>
  <si>
    <t xml:space="preserve"> фонда городского округа»;</t>
  </si>
  <si>
    <t>Цель муниципальной программы</t>
  </si>
  <si>
    <t>Задачи муниципальной программы</t>
  </si>
  <si>
    <t>Целевые индикаторы и показатели муниципальной программы</t>
  </si>
  <si>
    <t>Этапы и сроки реализации муниципальной программы</t>
  </si>
  <si>
    <t>2014-2020 годы</t>
  </si>
  <si>
    <t>в т.ч. по источникам финансирования:</t>
  </si>
  <si>
    <t>В т.ч. по годам реализации муниципальной программы:</t>
  </si>
  <si>
    <t>2014 год:</t>
  </si>
  <si>
    <t>2015 год:</t>
  </si>
  <si>
    <t>2016 год:</t>
  </si>
  <si>
    <t>2017 год:</t>
  </si>
  <si>
    <t>2018 год:</t>
  </si>
  <si>
    <t>2019 год:</t>
  </si>
  <si>
    <t>2020 год:</t>
  </si>
  <si>
    <t>Ожидаемые конечные результаты реализации муниципальной программы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</si>
  <si>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В разрезе подпрограмм муниципальной программы. Объем финансирования указывается в</t>
    </r>
  </si>
  <si>
    <t>тысячах рублей с точностью до второго знака после запятой</t>
  </si>
  <si>
    <t>Ю.В.Яковлев</t>
  </si>
  <si>
    <t>635,0</t>
  </si>
  <si>
    <t>641,0</t>
  </si>
  <si>
    <t>-обеспечение конституционных прав граждан на благоприятную окружающую среду путем разработки и реализации стратегических направлений по оздоровлению экологической обстановки городского округа город Воронеж, экологическое просвещение, формирование экологического мировоззрения у населения.;</t>
  </si>
  <si>
    <t>-сохранение и развитие озелененных территорий общего пользования и зон рекреации городского округа город Воронеж.</t>
  </si>
  <si>
    <t>-стабилизация экологической обстановки в городском округе город Воронеж, повышение эффективности и совершенствование форм управления охраной окружающей среды с целью ее оздоровления;</t>
  </si>
  <si>
    <t xml:space="preserve">-реконструкция старовозрастных, фаутных и малоценных насаждений, озеленение, в том числе компенсационное, территории городского округа город Воронеж; </t>
  </si>
  <si>
    <t>-реконструкция озелененных территорий общего пользования;</t>
  </si>
  <si>
    <t>-своевременное выявление и предупреждение экологически негативных процессов, организация мероприятий по ликвидации очагов загрязнения и захламления;</t>
  </si>
  <si>
    <t xml:space="preserve">-совершенствование системы сбора, утилизации и размещения отходов производства и потребления; </t>
  </si>
  <si>
    <t>-максимальное вовлечение образующихся отходов в хозяйственный оборот в качестве вторичного сырья;</t>
  </si>
  <si>
    <t>-развитие системы экологического мониторинга, получение достоверной информации о состоянии окружающей среды;</t>
  </si>
  <si>
    <t>-проведение водохозяйственных мероприятий, содержание мест отдыха у воды в надлежащем состоянии;</t>
  </si>
  <si>
    <t>-обеспечение качественной питьевой водой детей дошкольного, школьного возраста в рамках муниципальных образовательных учреждений, детских оздоровительных лагерей для профилактики и снижения уровня различных заболеваний</t>
  </si>
  <si>
    <t>-распространение информации о состоянии окружающей среды и проведенных природоохранных мероприятиях  в целях формирования  экологического просвещения населения.</t>
  </si>
  <si>
    <t>-снижение техногенной нагрузки на природные территории городского округа и сохранение защитных функций зеленых зон;</t>
  </si>
  <si>
    <t xml:space="preserve">-увеличение благоустроенных зон рекреации для населения, повышение качества их содержания; </t>
  </si>
  <si>
    <t>-совершенствование системы мониторинга за состоянием окружающей среды с целью предотвращения и ликвидации очагов загрязнения и увеличение охвата инструментальным контролем объектов негативного воздействия;</t>
  </si>
  <si>
    <t xml:space="preserve">-совершенствование системы переработки, утилизации и размещения бытовых и промышленных отходов (наиболее опасных и распространенных); </t>
  </si>
  <si>
    <t>1. Уровень обеспеченности зелеными насаждениями (%)</t>
  </si>
  <si>
    <t>- снижение негативных экологических последствий, в том числе от чрезвычайных ситуаций природного и техногенного характера;</t>
  </si>
  <si>
    <t>Оформление в муниципальную     
собственность земельных        
участков озелененных территорий
общего пользования</t>
  </si>
  <si>
    <t>-бюджет городского округа- 161500,00 тыс. рублей;</t>
  </si>
  <si>
    <t>-бюджет городского округа-107108,00 тыс. рублей;</t>
  </si>
  <si>
    <t>Экологическое просвещение и прочие мероприятия, направленные на охрану и оздоровление окружающей среды</t>
  </si>
  <si>
    <t xml:space="preserve">Экологическое просвещение и прочие мероприятия, направленные на охрану и оздоровление окружающей среды </t>
  </si>
  <si>
    <t xml:space="preserve">   -Управление экологии администрации городского округа город Воронеж </t>
  </si>
  <si>
    <t>-Управление строительной политики администрации городского округа город Воронеж,</t>
  </si>
  <si>
    <t>-Управление имущественных и земельных отношений администрации городского округа город Воронеж,</t>
  </si>
  <si>
    <t>- Управление жилищно-коммунального хозяйства администрации городского округа город Воронеж,</t>
  </si>
  <si>
    <t>Подпрограммы муниципальной программы и основные мероприятия</t>
  </si>
  <si>
    <t>Основное мероприятие 2 «Развитие и совершенствование системы обращения с отходами и мониторинг окружающей среды";</t>
  </si>
  <si>
    <t xml:space="preserve">-формирование системы устойчивых эстетически привлекательных, благоустроенных ландшафтных комплексов; </t>
  </si>
  <si>
    <t xml:space="preserve">Вырубка (при необходимости с корчевкой пней) усыхающих, сухостойных, аварийных насаждений, обрезка деревьев на территории городского округа </t>
  </si>
  <si>
    <r>
      <t>Общий объем финансирования муниципальной программы составляет 1922089,</t>
    </r>
    <r>
      <rPr>
        <sz val="12"/>
        <rFont val="Times New Roman"/>
        <family val="1"/>
        <charset val="204"/>
      </rPr>
      <t xml:space="preserve">00 тыс. рублей, </t>
    </r>
  </si>
  <si>
    <t>-бюджет городского округа - 848225,00 тыс. рублей;</t>
  </si>
  <si>
    <r>
      <t xml:space="preserve">-внебюджетные источники </t>
    </r>
    <r>
      <rPr>
        <sz val="12"/>
        <color rgb="FF000000"/>
        <rFont val="Times New Roman"/>
        <family val="1"/>
        <charset val="204"/>
      </rPr>
      <t>-  1073864,00</t>
    </r>
    <r>
      <rPr>
        <sz val="12"/>
        <rFont val="Times New Roman"/>
        <family val="1"/>
        <charset val="204"/>
      </rPr>
      <t xml:space="preserve"> тыс. рублей.</t>
    </r>
  </si>
  <si>
    <t xml:space="preserve">Всего – 324346,00 тыс. рублей, </t>
  </si>
  <si>
    <t>-внебюджетные источники- 217238,00 тыс. рублей.</t>
  </si>
  <si>
    <t xml:space="preserve">Всего -717683,00 тыс. рублей, </t>
  </si>
  <si>
    <t>-внебюджетные источники- 606334,00 тыс. рублей.</t>
  </si>
  <si>
    <t xml:space="preserve">Всего – 292426,00  тыс. рублей, </t>
  </si>
  <si>
    <t>-бюджет городского округа- 111349,00 тыс. рублей;</t>
  </si>
  <si>
    <t>-внебюджетные источники- 176146,00 тыс. рублей.</t>
  </si>
  <si>
    <t xml:space="preserve">Всего – 138113,00 тыс. рублей, </t>
  </si>
  <si>
    <t>-бюджет городского округа- 119939,00 тыс. рублей;</t>
  </si>
  <si>
    <t>-внебюджетные источники- 18174,00 тыс. рублей.</t>
  </si>
  <si>
    <t xml:space="preserve">Всего – 143662,00 тыс. рублей, </t>
  </si>
  <si>
    <t>-бюджет городского округа- 125693,00 тыс. рублей;</t>
  </si>
  <si>
    <t>-внебюджетные источники- 17969,00 тыс. рублей.</t>
  </si>
  <si>
    <t xml:space="preserve">Всего -149937,00 тыс. рублей, </t>
  </si>
  <si>
    <t>-внебюджетные источники- 18676,00 тыс. рублей.</t>
  </si>
  <si>
    <t xml:space="preserve">Всего – 155922,00 тыс. рублей, </t>
  </si>
  <si>
    <t>-бюджет городского округа-136595,00 тыс. рублей;</t>
  </si>
  <si>
    <t>-внебюджетные источники- 19327,00 тыс. рублей.</t>
  </si>
  <si>
    <t>Основное мероприятие 3 «Экологическое просвещение и прочие мероприятия, направленные на охрану и оздоровление окружающей среды".</t>
  </si>
  <si>
    <t>- Управление дорожного хозяйства администрации городского округа город Воронеж.</t>
  </si>
  <si>
    <t xml:space="preserve"> -Управление экологии администрации городского округа город Воронеж.</t>
  </si>
  <si>
    <t>-увеличение правовым образом оформленных озелененных территорий общего пользования и иных зон рекреации, как объектов муниципальной собственности;</t>
  </si>
  <si>
    <t>-увеличение количества отходов, подвергающихся переработке;</t>
  </si>
  <si>
    <t>-улучшение состояния качества питьевой воды путем внедрения установок доочистки в муниципальных учреждениях социальной сферы;</t>
  </si>
  <si>
    <t>-формирование экологического мировоззрения населения,  в первую очередь у подрастающего населения.</t>
  </si>
  <si>
    <t>-бюджет городского округа- 131261,00 тыс. рублей;</t>
  </si>
  <si>
    <t>-Управление главного архитектора городского округа администрации городского округа город Воронеж,</t>
  </si>
  <si>
    <t>2012                   (отчетный год)</t>
  </si>
  <si>
    <t>2. Количество отходов, из образующихся на территории городского округа город Воронеж, подвергающихся переработке (тыс. тонн).</t>
  </si>
  <si>
    <t>24000</t>
  </si>
  <si>
    <t>629,0</t>
  </si>
  <si>
    <t>36</t>
  </si>
  <si>
    <t>18000</t>
  </si>
  <si>
    <t>- Управы районов городского округа город Воронеж,</t>
  </si>
  <si>
    <t>%</t>
  </si>
  <si>
    <t>80</t>
  </si>
  <si>
    <t>800</t>
  </si>
  <si>
    <t>1200</t>
  </si>
  <si>
    <t>6300</t>
  </si>
  <si>
    <t>1,95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</si>
  <si>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</si>
  <si>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</si>
  <si>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</si>
  <si>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Ленинского района</t>
  </si>
  <si>
    <t>Управа Советского района</t>
  </si>
  <si>
    <t>Управа Центрального района</t>
  </si>
  <si>
    <t xml:space="preserve">Сохранение и развитие зеленого фонда  городского округа </t>
  </si>
  <si>
    <t>Сохранение и развитие зеленого фонда городского округа</t>
  </si>
  <si>
    <t>Мониторинг окружающей среды. Отдельные аспекты совершенствования системы обращения с отходами</t>
  </si>
  <si>
    <t>74</t>
  </si>
  <si>
    <t>4,0</t>
  </si>
  <si>
    <t>Издательская и информационная деятельность, организация радио- и телепередач, круглых столов и конференций, изготовление и размещение рекламных щитов и информационных стендов</t>
  </si>
  <si>
    <t xml:space="preserve">Основное мероприятие 4 </t>
  </si>
  <si>
    <t>Обеспечение проведения противоэпизоотических мероприятий</t>
  </si>
  <si>
    <t>Основное мероприятие 4</t>
  </si>
  <si>
    <t>735,67</t>
  </si>
  <si>
    <t>4,6</t>
  </si>
  <si>
    <t>91</t>
  </si>
  <si>
    <t>1611,35</t>
  </si>
  <si>
    <t>28800</t>
  </si>
  <si>
    <t xml:space="preserve">2013                   (отчетный год)
</t>
  </si>
  <si>
    <t xml:space="preserve">Мероприятие 3.2 </t>
  </si>
  <si>
    <t>Мероприятие 3.4</t>
  </si>
  <si>
    <t>4,7</t>
  </si>
  <si>
    <t>87,1</t>
  </si>
  <si>
    <t>110000</t>
  </si>
  <si>
    <t xml:space="preserve">Управление экологии </t>
  </si>
  <si>
    <t xml:space="preserve">Управление имущественных и земельных отношений </t>
  </si>
  <si>
    <t xml:space="preserve">Управление строительной политики </t>
  </si>
  <si>
    <t xml:space="preserve">Управление строительной политики  </t>
  </si>
  <si>
    <t>-</t>
  </si>
  <si>
    <t>га</t>
  </si>
  <si>
    <t>МУНИЦИПАЛЬНАЯ ПРОГРАММА «Охрана окружающей среды»</t>
  </si>
  <si>
    <t>Основное мероприятие 1 «Сохранение и развитие зеленого фонда городского округа»</t>
  </si>
  <si>
    <t xml:space="preserve">Основное мероприятие 3 «Экологическое просвещение и прочие мероприятия, направленные на охрану и оздоровление окружающей среды» </t>
  </si>
  <si>
    <t>Основное мероприятие 4 «Обеспечение проведения противоэпизоотических мероприятий»</t>
  </si>
  <si>
    <t>Охрана окружающей среды</t>
  </si>
  <si>
    <t>в том числе по ГРБС</t>
  </si>
  <si>
    <t>всего, в том числе</t>
  </si>
  <si>
    <t>Развитие особо охраняемых природных территорий местного значения, проведение тематических мероприятий на озелененных территориях общего пользования</t>
  </si>
  <si>
    <t>Проведение Дней защиты от экологической опасности: акций «Чистая Земля», «День птиц», Всемирного дня окружающей среды</t>
  </si>
  <si>
    <t xml:space="preserve"> Мониторинг состояния зеленых насаждений, их инвентаризация, обеспечение режима особой охраны особо охраняемых природных территорий местного значения</t>
  </si>
  <si>
    <t xml:space="preserve">Организация экскурсий и поездок в Воронежский природный биосферный заповедник и другие особо охраняемые природные территории </t>
  </si>
  <si>
    <t>Развитие мест массового отдыха, в том числе у воды, обеспечение их функционирования и проведение санитарно-гигиенических мероприятий</t>
  </si>
  <si>
    <t>105</t>
  </si>
  <si>
    <t>1919,35</t>
  </si>
  <si>
    <t>511</t>
  </si>
  <si>
    <t>4,8</t>
  </si>
  <si>
    <t>2200</t>
  </si>
  <si>
    <t>100500</t>
  </si>
  <si>
    <t>248</t>
  </si>
  <si>
    <t>Количество высаженных деревьев</t>
  </si>
  <si>
    <t>Количество высаженных кустарников</t>
  </si>
  <si>
    <t>Приживаемость высаженных кустарников и деревьев</t>
  </si>
  <si>
    <t>Площадь цветников</t>
  </si>
  <si>
    <t xml:space="preserve"> Количество правовым образом оформленных в муниципальную собственность озелененных территорий общего пользования (нарастающим итогом)</t>
  </si>
  <si>
    <t>Количество человек, принявших участие в акциях, конкурсах и прочих  природоохранных мероприятиях</t>
  </si>
  <si>
    <t>191000</t>
  </si>
  <si>
    <t>756,34</t>
  </si>
  <si>
    <t>86,3</t>
  </si>
  <si>
    <t>127</t>
  </si>
  <si>
    <t>Общая площадь озелененных территорий общего пользования (парки, сады, скверы и бульвары) в пределах городской черты (нарастающим итогом)</t>
  </si>
  <si>
    <t>Уходные работы за зелеными насаждениями, в том числе стрижка кустарника, покос, полив, восстановление газонов и др.</t>
  </si>
  <si>
    <t xml:space="preserve">Реконструкция видовых мест на территории городского округа </t>
  </si>
  <si>
    <t>766,93</t>
  </si>
  <si>
    <t>88</t>
  </si>
  <si>
    <t>154</t>
  </si>
  <si>
    <t>2650</t>
  </si>
  <si>
    <t>2854</t>
  </si>
  <si>
    <t>Обеспечение спецтехникой МКП «ЭкоЦентр» и МБУ «Зеленхоз»</t>
  </si>
  <si>
    <t>ед.</t>
  </si>
  <si>
    <t>Обеспеченность зелеными насаждениями общего пользования с учетом лесопарков</t>
  </si>
  <si>
    <t>Площадь земель, реабилитированных в результате ликвидации захламлений и загрязнения территорий (нарастающим итогом)</t>
  </si>
  <si>
    <t>Приложение № 1                                                          к муниципальной программе городского округа город Воронеж «Охрана окружающей среды»</t>
  </si>
  <si>
    <t>2</t>
  </si>
  <si>
    <t>30</t>
  </si>
  <si>
    <t>Доля благоустроенных озелененных территорий общего пользования в их общем количестве</t>
  </si>
  <si>
    <t>Количество озелененных территорий, имеющих статус ООПТ</t>
  </si>
  <si>
    <t>183</t>
  </si>
  <si>
    <t>1784</t>
  </si>
  <si>
    <t>120500</t>
  </si>
  <si>
    <t>3057</t>
  </si>
  <si>
    <t>43,4</t>
  </si>
  <si>
    <t>6,0</t>
  </si>
  <si>
    <t>8,94</t>
  </si>
  <si>
    <t>783,49</t>
  </si>
  <si>
    <t>Количество отловленных животных без владельцев</t>
  </si>
  <si>
    <t xml:space="preserve">Управление главного архитектора </t>
  </si>
  <si>
    <t>799,74</t>
  </si>
  <si>
    <t>Проведение конкурса главы городского округа город Воронеж в области охраны окружающей среды, организация и проведение городских конкурсов «Зеленый островок», «Лучший защитник природы», «Город и Экология» и т.д., выставки-ярмарки  «Воронеж - сад»</t>
  </si>
  <si>
    <t>кв.м на человека</t>
  </si>
  <si>
    <t>1.1</t>
  </si>
  <si>
    <t>1.2</t>
  </si>
  <si>
    <t>1.3</t>
  </si>
  <si>
    <t>1.4</t>
  </si>
  <si>
    <t>1.5</t>
  </si>
  <si>
    <t>1.6</t>
  </si>
  <si>
    <t>1.7</t>
  </si>
  <si>
    <t>2.1</t>
  </si>
  <si>
    <t>3.1</t>
  </si>
  <si>
    <t>4.1</t>
  </si>
  <si>
    <t>Основное мероприятие 2 «Мониторинг окружающей среды. Отдельные аспекты совершенствования системы обращения с отходами»</t>
  </si>
  <si>
    <t>Проектирование ( в том числе разработка концепций и архитектурных решений), реконструкция и благоустройство озелененных территорий общего пользования, находящихся на территории городского округа (Воронежский центральный парк, Детский литературный парк, скверы «Чайка», Спортивный, парк «Танаис» и др.)</t>
  </si>
  <si>
    <t>Участие в совершенствовании системы сбора и переработки отдельных видов отходов, а также отходов, являющихся вторичными ресурсами</t>
  </si>
  <si>
    <t>9,096</t>
  </si>
  <si>
    <t>211</t>
  </si>
  <si>
    <t>20030</t>
  </si>
  <si>
    <t>1051</t>
  </si>
  <si>
    <t>Реабилитационные мероприятия. Проведение инженерных изысканий, разработка проектно-сметной документации, рекультивация и ликвидация несанкционированных свалок  отходов, объектов накопленного вреда, в том числе: по ул. Землячки, 29, ул. Антокольского. Уборка захламленных территорий городского округа.</t>
  </si>
  <si>
    <t>Мероприятие 1.1.</t>
  </si>
  <si>
    <t xml:space="preserve">Мероприятие 1.5. </t>
  </si>
  <si>
    <t xml:space="preserve">Мероприятие 1.6. </t>
  </si>
  <si>
    <t xml:space="preserve">Мероприятие 1.7. </t>
  </si>
  <si>
    <t xml:space="preserve">Мероприятие 1.8. </t>
  </si>
  <si>
    <t xml:space="preserve">Мероприятие 1.9. </t>
  </si>
  <si>
    <t xml:space="preserve">Мероприятие 1.10. </t>
  </si>
  <si>
    <t xml:space="preserve">Мероприятие 1.11. </t>
  </si>
  <si>
    <t xml:space="preserve">Мероприятие 2.3. </t>
  </si>
  <si>
    <t xml:space="preserve">Мероприятие 3.1. </t>
  </si>
  <si>
    <t xml:space="preserve">Мероприятие 3.3. </t>
  </si>
  <si>
    <t xml:space="preserve">Мероприятие 3.5. </t>
  </si>
  <si>
    <t>Мероприятие 4.2.</t>
  </si>
  <si>
    <t>Организация мероприятий при осуществлении деятельности по обращению с животными без владельцев</t>
  </si>
  <si>
    <t>3424</t>
  </si>
  <si>
    <t>Управление строительной политики</t>
  </si>
  <si>
    <t>Проектирование и строительство муниципального приюта для животных в городском округе город Воронеж</t>
  </si>
  <si>
    <t>Сведения о показателях (индикаторах) муниципальной программы городского округа город Воронеж
«Охрана окружающей среды» и их значениях (I этап)</t>
  </si>
  <si>
    <t>Приложение № 2                                                          к муниципальной программе городского округа город Воронеж «Охрана окружающей среды»</t>
  </si>
  <si>
    <t>Приложение № 3                                                                                                                                                                       к муниципальной программе городского округа город Воронеж «Охрана окружающей среды»</t>
  </si>
  <si>
    <t xml:space="preserve">Расходы бюджета городского округа город Воронеж на реализацию муниципальной программы 
городского округа город Воронеж «Охрана окружающей среды» (I этап)  </t>
  </si>
  <si>
    <t>Расходы бюджета городского округа город Воронеж на реализацию муниципальной программы 
городского округа город Воронеж «Охрана окружающей среды» (II этап)</t>
  </si>
  <si>
    <t>Приложение № 4                                                                                                                                                                       к муниципальной программе городского округа город Воронеж «Охрана окружающей среды»</t>
  </si>
  <si>
    <t>Приложение № 5                                                                                                                к муниципальной программе городского округа город Воронеж «Охрана окружающей среды»</t>
  </si>
  <si>
    <t>Приложение № 6                                                                                                                к муниципальной программе городского округа город Воронеж «Охрана окружающей среды»</t>
  </si>
  <si>
    <t>Ресурсное обеспечение и прогнозная (справочная) оценка расходов федерального, областного бюджетов и бюджета городского округа город Воронеж, внебюджетных источников на реализацию муниципальной программы городского округа город Воронеж «Охрана окружающей среды» (I этап)</t>
  </si>
  <si>
    <t>Ресурсное обеспечение и прогнозная (справочная) оценка расходов федерального, областного бюджетов и бюджета городского округа город Воронеж, внебюджетных источников на реализацию муниципальной программы городского округа город Воронеж «Охрана окружающей среды» (II этап)</t>
  </si>
  <si>
    <t>259</t>
  </si>
  <si>
    <t>269</t>
  </si>
  <si>
    <t>279</t>
  </si>
  <si>
    <t>289</t>
  </si>
  <si>
    <t>299</t>
  </si>
  <si>
    <t>309</t>
  </si>
  <si>
    <t>1000</t>
  </si>
  <si>
    <t>Сведения о показателях (индикаторах) муниципальной программы городского округа город Воронеж
«Охрана окружающей среды» и их значениях (II этап)</t>
  </si>
  <si>
    <t>58</t>
  </si>
  <si>
    <t>53</t>
  </si>
  <si>
    <t>54</t>
  </si>
  <si>
    <t>55</t>
  </si>
  <si>
    <t>57</t>
  </si>
  <si>
    <t>Управление жилищно-коммунального хозяйства</t>
  </si>
  <si>
    <t>840</t>
  </si>
  <si>
    <t>850</t>
  </si>
  <si>
    <t>860</t>
  </si>
  <si>
    <t>870</t>
  </si>
  <si>
    <t>880</t>
  </si>
  <si>
    <t>890</t>
  </si>
  <si>
    <t>9,51</t>
  </si>
  <si>
    <t>9,61</t>
  </si>
  <si>
    <t>9,71</t>
  </si>
  <si>
    <t>9,81</t>
  </si>
  <si>
    <t>9,91</t>
  </si>
  <si>
    <t>10</t>
  </si>
  <si>
    <t>24500</t>
  </si>
  <si>
    <t>25000</t>
  </si>
  <si>
    <t>25500</t>
  </si>
  <si>
    <t>26000</t>
  </si>
  <si>
    <t>26500</t>
  </si>
  <si>
    <t>27000</t>
  </si>
  <si>
    <t>48,09</t>
  </si>
  <si>
    <t>Расходы бюджета городского округа город Воронеж по годам реализации муниципальной программы,                           тыс. руб.</t>
  </si>
  <si>
    <t>Мероприятие 1.1</t>
  </si>
  <si>
    <t>Мероприятие 1.2</t>
  </si>
  <si>
    <t>Мероприятие 1.3</t>
  </si>
  <si>
    <t>Мероприятие                   1.4</t>
  </si>
  <si>
    <t>Мероприятие 1.5</t>
  </si>
  <si>
    <t>Мероприятие 1.6</t>
  </si>
  <si>
    <t>Мероприятие 1.7</t>
  </si>
  <si>
    <t>Мероприятие 1.8</t>
  </si>
  <si>
    <t>Мероприятие 1.9</t>
  </si>
  <si>
    <t>Мероприятие 1.10</t>
  </si>
  <si>
    <t>Мероприятие 1.11</t>
  </si>
  <si>
    <t>Мероприятие 2.1</t>
  </si>
  <si>
    <t>Мероприятие 2.2</t>
  </si>
  <si>
    <t>Мероприятие 2.3</t>
  </si>
  <si>
    <t>Мероприятие 2.4</t>
  </si>
  <si>
    <t>Мероприятие 2.5</t>
  </si>
  <si>
    <t>Мероприятие 2.6</t>
  </si>
  <si>
    <t>Мероприятие 3.1</t>
  </si>
  <si>
    <t>Мероприятие 3.3</t>
  </si>
  <si>
    <t>Мероприятие 3.5</t>
  </si>
  <si>
    <t>Мероприятие 3.6</t>
  </si>
  <si>
    <t>Мероприятие 4.1</t>
  </si>
  <si>
    <t>Мероприятие 4.2</t>
  </si>
  <si>
    <t>Реабилитационные мероприятия. Проведение инженерных изысканий, разработка проектно-сметной документации, рекультивация и ликвидация несанкционированных свалок  отходов, объектов накопленного вреда, в том числе: по ул. Землячки, 29, ул. Антокольского. Уборка захламленных территорий городского округа</t>
  </si>
  <si>
    <t>Г.Л. Воробьева</t>
  </si>
  <si>
    <t>Руководитель управления экологии</t>
  </si>
  <si>
    <t xml:space="preserve">Руководитель управления экологии   
</t>
  </si>
  <si>
    <t xml:space="preserve">Руководитель управления экологии   </t>
  </si>
  <si>
    <t>2.2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</si>
  <si>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 (нарастающим итогом)</t>
  </si>
  <si>
    <t>Содержание муниципальных парков, скверов, видовых мест и иных озелененных территорий</t>
  </si>
  <si>
    <t>5150</t>
  </si>
  <si>
    <t>5450</t>
  </si>
  <si>
    <t>5750</t>
  </si>
  <si>
    <t>6050</t>
  </si>
  <si>
    <t>6350</t>
  </si>
  <si>
    <t>6650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</si>
</sst>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"/>
    <numFmt numFmtId="166" formatCode="#,##0.00_р_."/>
  </numFmts>
  <fonts count="3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trike/>
      <sz val="14"/>
      <name val="Calibri"/>
      <family val="2"/>
      <charset val="204"/>
    </font>
    <font>
      <sz val="14"/>
      <name val="Calibri"/>
      <family val="2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Arial Cyr"/>
      <charset val="204"/>
    </font>
    <font>
      <sz val="18"/>
      <name val="Arial Cyr"/>
      <charset val="204"/>
    </font>
    <font>
      <sz val="22"/>
      <name val="Times New Roman"/>
      <family val="1"/>
      <charset val="204"/>
    </font>
    <font>
      <sz val="22"/>
      <name val="Arial Cyr"/>
      <charset val="204"/>
    </font>
    <font>
      <b/>
      <sz val="16"/>
      <name val="Times New Roman"/>
      <family val="1"/>
      <charset val="204"/>
    </font>
    <font>
      <b/>
      <sz val="16"/>
      <name val="Arial Cyr"/>
      <charset val="204"/>
    </font>
    <font>
      <strike/>
      <sz val="16"/>
      <name val="Calibri"/>
      <family val="2"/>
      <charset val="204"/>
    </font>
    <font>
      <strike/>
      <sz val="22"/>
      <name val="Calibri"/>
      <family val="2"/>
      <charset val="204"/>
    </font>
    <font>
      <strike/>
      <sz val="22"/>
      <name val="Times New Roman"/>
      <family val="1"/>
      <charset val="204"/>
    </font>
    <font>
      <sz val="22"/>
      <name val="Calibri"/>
      <family val="2"/>
      <charset val="204"/>
    </font>
    <font>
      <vertAlign val="superscript"/>
      <sz val="16"/>
      <name val="Times New Roman"/>
      <family val="1"/>
      <charset val="204"/>
    </font>
    <font>
      <sz val="26"/>
      <name val="Times New Roman"/>
      <family val="1"/>
      <charset val="204"/>
    </font>
    <font>
      <sz val="26"/>
      <name val="Calibri"/>
      <family val="2"/>
      <charset val="204"/>
    </font>
    <font>
      <sz val="16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164" fontId="10" fillId="0" borderId="0" applyFont="0" applyFill="0" applyBorder="0" applyAlignment="0" applyProtection="0"/>
    <xf numFmtId="0" fontId="1" fillId="0" borderId="0"/>
    <xf numFmtId="0" fontId="10" fillId="0" borderId="0"/>
  </cellStyleXfs>
  <cellXfs count="297">
    <xf numFmtId="0" fontId="0" fillId="0" borderId="0" xfId="0"/>
    <xf numFmtId="0" fontId="3" fillId="0" borderId="0" xfId="0" applyFont="1"/>
    <xf numFmtId="49" fontId="8" fillId="0" borderId="0" xfId="0" applyNumberFormat="1" applyFont="1" applyFill="1" applyAlignment="1">
      <alignment wrapText="1"/>
    </xf>
    <xf numFmtId="49" fontId="8" fillId="0" borderId="0" xfId="0" applyNumberFormat="1" applyFont="1" applyFill="1" applyAlignment="1">
      <alignment vertical="top" wrapText="1"/>
    </xf>
    <xf numFmtId="49" fontId="8" fillId="0" borderId="0" xfId="0" applyNumberFormat="1" applyFont="1" applyFill="1" applyAlignment="1">
      <alignment horizontal="right" vertical="top" wrapText="1"/>
    </xf>
    <xf numFmtId="49" fontId="8" fillId="0" borderId="0" xfId="0" applyNumberFormat="1" applyFont="1" applyFill="1" applyAlignment="1">
      <alignment horizontal="centerContinuous" vertical="center" wrapText="1"/>
    </xf>
    <xf numFmtId="49" fontId="3" fillId="3" borderId="0" xfId="0" applyNumberFormat="1" applyFont="1" applyFill="1" applyBorder="1" applyAlignment="1">
      <alignment vertical="center" wrapText="1"/>
    </xf>
    <xf numFmtId="49" fontId="3" fillId="0" borderId="0" xfId="0" applyNumberFormat="1" applyFont="1" applyBorder="1" applyAlignment="1">
      <alignment wrapText="1"/>
    </xf>
    <xf numFmtId="49" fontId="3" fillId="2" borderId="0" xfId="0" applyNumberFormat="1" applyFont="1" applyFill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4" xfId="0" applyNumberFormat="1" applyFont="1" applyBorder="1" applyAlignment="1">
      <alignment horizontal="justify" vertical="top"/>
    </xf>
    <xf numFmtId="49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4" xfId="0" applyNumberFormat="1" applyFont="1" applyBorder="1" applyAlignment="1">
      <alignment vertical="top"/>
    </xf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vertical="top"/>
    </xf>
    <xf numFmtId="0" fontId="16" fillId="0" borderId="3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2" xfId="0" applyFont="1" applyBorder="1" applyAlignment="1">
      <alignment vertical="top" wrapText="1"/>
    </xf>
    <xf numFmtId="0" fontId="16" fillId="0" borderId="3" xfId="0" applyFont="1" applyBorder="1" applyAlignment="1">
      <alignment vertical="top"/>
    </xf>
    <xf numFmtId="49" fontId="3" fillId="2" borderId="0" xfId="0" applyNumberFormat="1" applyFont="1" applyFill="1" applyBorder="1" applyAlignment="1">
      <alignment vertical="top"/>
    </xf>
    <xf numFmtId="49" fontId="3" fillId="2" borderId="0" xfId="0" applyNumberFormat="1" applyFont="1" applyFill="1" applyAlignment="1">
      <alignment horizontal="justify" vertical="center"/>
    </xf>
    <xf numFmtId="49" fontId="3" fillId="2" borderId="0" xfId="0" applyNumberFormat="1" applyFont="1" applyFill="1" applyBorder="1" applyAlignment="1">
      <alignment horizontal="justify" vertical="center"/>
    </xf>
    <xf numFmtId="49" fontId="3" fillId="2" borderId="0" xfId="0" applyNumberFormat="1" applyFont="1" applyFill="1" applyBorder="1" applyAlignment="1">
      <alignment horizontal="right" vertical="center"/>
    </xf>
    <xf numFmtId="49" fontId="16" fillId="0" borderId="3" xfId="0" applyNumberFormat="1" applyFont="1" applyBorder="1" applyAlignment="1">
      <alignment horizontal="left" vertical="top" wrapText="1"/>
    </xf>
    <xf numFmtId="49" fontId="16" fillId="0" borderId="2" xfId="0" applyNumberFormat="1" applyFont="1" applyBorder="1" applyAlignment="1">
      <alignment horizontal="left" vertical="top" wrapText="1"/>
    </xf>
    <xf numFmtId="49" fontId="16" fillId="0" borderId="3" xfId="0" applyNumberFormat="1" applyFont="1" applyBorder="1" applyAlignment="1">
      <alignment vertical="top" wrapText="1"/>
    </xf>
    <xf numFmtId="49" fontId="16" fillId="0" borderId="4" xfId="0" applyNumberFormat="1" applyFont="1" applyBorder="1" applyAlignment="1">
      <alignment vertical="top" wrapText="1"/>
    </xf>
    <xf numFmtId="49" fontId="16" fillId="0" borderId="4" xfId="0" applyNumberFormat="1" applyFont="1" applyBorder="1" applyAlignment="1">
      <alignment horizontal="justify" vertical="top"/>
    </xf>
    <xf numFmtId="49" fontId="16" fillId="0" borderId="2" xfId="0" applyNumberFormat="1" applyFont="1" applyBorder="1" applyAlignment="1">
      <alignment vertical="top" wrapText="1"/>
    </xf>
    <xf numFmtId="49" fontId="16" fillId="0" borderId="10" xfId="0" applyNumberFormat="1" applyFont="1" applyBorder="1" applyAlignment="1">
      <alignment vertical="top" wrapText="1"/>
    </xf>
    <xf numFmtId="49" fontId="16" fillId="0" borderId="8" xfId="0" applyNumberFormat="1" applyFont="1" applyBorder="1" applyAlignment="1">
      <alignment vertical="top" wrapText="1"/>
    </xf>
    <xf numFmtId="49" fontId="16" fillId="0" borderId="3" xfId="0" applyNumberFormat="1" applyFont="1" applyBorder="1" applyAlignment="1">
      <alignment horizontal="justify" vertical="top"/>
    </xf>
    <xf numFmtId="49" fontId="3" fillId="0" borderId="4" xfId="0" applyNumberFormat="1" applyFont="1" applyBorder="1" applyAlignment="1">
      <alignment horizontal="justify"/>
    </xf>
    <xf numFmtId="49" fontId="3" fillId="0" borderId="2" xfId="0" applyNumberFormat="1" applyFont="1" applyBorder="1" applyAlignment="1">
      <alignment horizontal="justify"/>
    </xf>
    <xf numFmtId="0" fontId="3" fillId="0" borderId="4" xfId="0" applyFont="1" applyBorder="1" applyAlignment="1">
      <alignment vertical="top" wrapText="1"/>
    </xf>
    <xf numFmtId="49" fontId="3" fillId="2" borderId="9" xfId="0" applyNumberFormat="1" applyFont="1" applyFill="1" applyBorder="1" applyAlignment="1">
      <alignment wrapText="1"/>
    </xf>
    <xf numFmtId="49" fontId="16" fillId="0" borderId="8" xfId="0" applyNumberFormat="1" applyFont="1" applyBorder="1" applyAlignment="1">
      <alignment horizontal="left" vertical="top" wrapText="1"/>
    </xf>
    <xf numFmtId="49" fontId="16" fillId="0" borderId="9" xfId="0" applyNumberFormat="1" applyFont="1" applyBorder="1" applyAlignment="1">
      <alignment horizontal="left" vertical="top" wrapText="1"/>
    </xf>
    <xf numFmtId="49" fontId="16" fillId="0" borderId="1" xfId="0" applyNumberFormat="1" applyFont="1" applyBorder="1" applyAlignment="1">
      <alignment vertical="top" wrapText="1"/>
    </xf>
    <xf numFmtId="0" fontId="16" fillId="0" borderId="4" xfId="0" applyFont="1" applyBorder="1" applyAlignment="1">
      <alignment horizontal="left" wrapText="1"/>
    </xf>
    <xf numFmtId="0" fontId="16" fillId="0" borderId="4" xfId="0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justify"/>
    </xf>
    <xf numFmtId="0" fontId="3" fillId="0" borderId="0" xfId="0" applyFont="1" applyFill="1"/>
    <xf numFmtId="0" fontId="7" fillId="0" borderId="0" xfId="0" applyFont="1"/>
    <xf numFmtId="0" fontId="7" fillId="0" borderId="0" xfId="0" applyFont="1" applyFill="1"/>
    <xf numFmtId="49" fontId="7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wrapText="1"/>
    </xf>
    <xf numFmtId="49" fontId="7" fillId="0" borderId="1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0" xfId="0" applyFont="1" applyAlignment="1">
      <alignment vertical="center" wrapText="1"/>
    </xf>
    <xf numFmtId="0" fontId="15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13" fillId="0" borderId="0" xfId="0" applyFont="1"/>
    <xf numFmtId="0" fontId="13" fillId="0" borderId="0" xfId="0" applyFont="1" applyFill="1"/>
    <xf numFmtId="0" fontId="19" fillId="0" borderId="0" xfId="0" applyFont="1"/>
    <xf numFmtId="0" fontId="19" fillId="0" borderId="0" xfId="0" applyFont="1" applyFill="1"/>
    <xf numFmtId="0" fontId="13" fillId="0" borderId="0" xfId="0" applyFont="1" applyBorder="1"/>
    <xf numFmtId="0" fontId="13" fillId="2" borderId="0" xfId="0" applyFont="1" applyFill="1"/>
    <xf numFmtId="49" fontId="13" fillId="0" borderId="1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49" fontId="7" fillId="2" borderId="11" xfId="0" applyNumberFormat="1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4" fillId="0" borderId="0" xfId="0" applyFont="1" applyFill="1" applyBorder="1" applyAlignment="1">
      <alignment wrapText="1"/>
    </xf>
    <xf numFmtId="0" fontId="18" fillId="0" borderId="0" xfId="0" applyFont="1" applyBorder="1" applyAlignment="1">
      <alignment wrapText="1"/>
    </xf>
    <xf numFmtId="2" fontId="13" fillId="0" borderId="1" xfId="0" applyNumberFormat="1" applyFont="1" applyFill="1" applyBorder="1" applyAlignment="1">
      <alignment horizontal="center" vertical="center" wrapText="1"/>
    </xf>
    <xf numFmtId="4" fontId="12" fillId="2" borderId="0" xfId="1" applyNumberFormat="1" applyFont="1" applyFill="1"/>
    <xf numFmtId="4" fontId="13" fillId="2" borderId="3" xfId="1" applyNumberFormat="1" applyFont="1" applyFill="1" applyBorder="1" applyAlignment="1">
      <alignment horizontal="center" vertical="center" wrapText="1"/>
    </xf>
    <xf numFmtId="2" fontId="13" fillId="2" borderId="1" xfId="1" applyNumberFormat="1" applyFont="1" applyFill="1" applyBorder="1" applyAlignment="1">
      <alignment horizontal="center" vertical="center" wrapText="1"/>
    </xf>
    <xf numFmtId="4" fontId="13" fillId="2" borderId="0" xfId="1" applyNumberFormat="1" applyFont="1" applyFill="1" applyBorder="1" applyAlignment="1">
      <alignment horizontal="center" vertical="center" wrapText="1"/>
    </xf>
    <xf numFmtId="0" fontId="12" fillId="2" borderId="0" xfId="1" applyFont="1" applyFill="1"/>
    <xf numFmtId="0" fontId="26" fillId="2" borderId="0" xfId="1" applyFont="1" applyFill="1"/>
    <xf numFmtId="2" fontId="13" fillId="2" borderId="1" xfId="1" applyNumberFormat="1" applyFont="1" applyFill="1" applyBorder="1" applyAlignment="1">
      <alignment horizontal="center" vertical="center"/>
    </xf>
    <xf numFmtId="0" fontId="11" fillId="2" borderId="0" xfId="1" applyFont="1" applyFill="1"/>
    <xf numFmtId="0" fontId="29" fillId="2" borderId="0" xfId="1" applyFont="1" applyFill="1"/>
    <xf numFmtId="49" fontId="7" fillId="2" borderId="0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4" fontId="13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0" fillId="2" borderId="0" xfId="0" applyFont="1" applyFill="1"/>
    <xf numFmtId="0" fontId="6" fillId="2" borderId="0" xfId="0" applyFont="1" applyFill="1" applyAlignment="1">
      <alignment vertical="top" wrapText="1"/>
    </xf>
    <xf numFmtId="2" fontId="13" fillId="2" borderId="1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49" fontId="13" fillId="2" borderId="0" xfId="0" applyNumberFormat="1" applyFont="1" applyFill="1"/>
    <xf numFmtId="1" fontId="13" fillId="2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/>
    </xf>
    <xf numFmtId="1" fontId="13" fillId="2" borderId="0" xfId="0" applyNumberFormat="1" applyFont="1" applyFill="1"/>
    <xf numFmtId="2" fontId="13" fillId="2" borderId="0" xfId="0" applyNumberFormat="1" applyFont="1" applyFill="1"/>
    <xf numFmtId="49" fontId="13" fillId="0" borderId="1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right"/>
    </xf>
    <xf numFmtId="0" fontId="19" fillId="2" borderId="0" xfId="0" applyFont="1" applyFill="1"/>
    <xf numFmtId="0" fontId="13" fillId="2" borderId="1" xfId="0" applyNumberFormat="1" applyFont="1" applyFill="1" applyBorder="1" applyAlignment="1">
      <alignment horizontal="center" vertical="center"/>
    </xf>
    <xf numFmtId="0" fontId="24" fillId="2" borderId="0" xfId="1" applyFont="1" applyFill="1"/>
    <xf numFmtId="0" fontId="25" fillId="2" borderId="0" xfId="1" applyFont="1" applyFill="1" applyAlignment="1">
      <alignment horizontal="center"/>
    </xf>
    <xf numFmtId="4" fontId="24" fillId="2" borderId="0" xfId="1" applyNumberFormat="1" applyFont="1" applyFill="1"/>
    <xf numFmtId="0" fontId="23" fillId="2" borderId="0" xfId="1" applyFont="1" applyFill="1"/>
    <xf numFmtId="0" fontId="13" fillId="2" borderId="1" xfId="1" applyFont="1" applyFill="1" applyBorder="1" applyAlignment="1">
      <alignment wrapText="1"/>
    </xf>
    <xf numFmtId="4" fontId="23" fillId="2" borderId="0" xfId="1" applyNumberFormat="1" applyFont="1" applyFill="1"/>
    <xf numFmtId="0" fontId="13" fillId="2" borderId="1" xfId="1" applyFont="1" applyFill="1" applyBorder="1" applyAlignment="1">
      <alignment vertical="top" wrapText="1"/>
    </xf>
    <xf numFmtId="0" fontId="23" fillId="2" borderId="0" xfId="1" applyFont="1" applyFill="1" applyBorder="1"/>
    <xf numFmtId="0" fontId="13" fillId="2" borderId="3" xfId="1" applyFont="1" applyFill="1" applyBorder="1" applyAlignment="1">
      <alignment wrapText="1"/>
    </xf>
    <xf numFmtId="0" fontId="13" fillId="2" borderId="0" xfId="1" applyFont="1" applyFill="1" applyBorder="1" applyAlignment="1">
      <alignment horizontal="center" vertical="top" wrapText="1"/>
    </xf>
    <xf numFmtId="0" fontId="13" fillId="2" borderId="0" xfId="1" applyFont="1" applyFill="1" applyBorder="1" applyAlignment="1">
      <alignment vertical="top" wrapText="1"/>
    </xf>
    <xf numFmtId="0" fontId="28" fillId="2" borderId="0" xfId="1" applyFont="1" applyFill="1"/>
    <xf numFmtId="4" fontId="13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20" fillId="2" borderId="0" xfId="0" applyFont="1" applyFill="1"/>
    <xf numFmtId="0" fontId="20" fillId="2" borderId="0" xfId="0" applyFont="1" applyFill="1" applyAlignment="1">
      <alignment wrapText="1"/>
    </xf>
    <xf numFmtId="0" fontId="19" fillId="2" borderId="0" xfId="0" applyFont="1" applyFill="1" applyAlignment="1">
      <alignment vertical="center" wrapText="1"/>
    </xf>
    <xf numFmtId="49" fontId="19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/>
    <xf numFmtId="0" fontId="17" fillId="2" borderId="0" xfId="0" applyFont="1" applyFill="1" applyBorder="1"/>
    <xf numFmtId="0" fontId="17" fillId="2" borderId="0" xfId="0" applyFont="1" applyFill="1"/>
    <xf numFmtId="0" fontId="13" fillId="2" borderId="1" xfId="0" applyFont="1" applyFill="1" applyBorder="1" applyAlignment="1">
      <alignment horizontal="left" vertical="center" wrapText="1"/>
    </xf>
    <xf numFmtId="4" fontId="17" fillId="2" borderId="0" xfId="0" applyNumberFormat="1" applyFont="1" applyFill="1"/>
    <xf numFmtId="49" fontId="13" fillId="2" borderId="1" xfId="0" applyNumberFormat="1" applyFont="1" applyFill="1" applyBorder="1" applyAlignment="1">
      <alignment horizontal="left" vertical="center" wrapText="1"/>
    </xf>
    <xf numFmtId="2" fontId="13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/>
    <xf numFmtId="4" fontId="13" fillId="2" borderId="0" xfId="0" applyNumberFormat="1" applyFont="1" applyFill="1" applyAlignment="1">
      <alignment horizontal="center" vertical="center"/>
    </xf>
    <xf numFmtId="4" fontId="13" fillId="2" borderId="5" xfId="0" applyNumberFormat="1" applyFont="1" applyFill="1" applyBorder="1" applyAlignment="1">
      <alignment horizontal="center" vertical="center" wrapText="1"/>
    </xf>
    <xf numFmtId="49" fontId="13" fillId="2" borderId="0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top" wrapText="1"/>
    </xf>
    <xf numFmtId="49" fontId="13" fillId="2" borderId="0" xfId="0" applyNumberFormat="1" applyFont="1" applyFill="1" applyBorder="1" applyAlignment="1">
      <alignment horizontal="left" vertical="center" wrapText="1"/>
    </xf>
    <xf numFmtId="2" fontId="1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top" wrapText="1"/>
    </xf>
    <xf numFmtId="0" fontId="0" fillId="2" borderId="0" xfId="0" applyFont="1" applyFill="1" applyBorder="1"/>
    <xf numFmtId="0" fontId="3" fillId="2" borderId="0" xfId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2" fontId="23" fillId="2" borderId="0" xfId="1" applyNumberFormat="1" applyFont="1" applyFill="1"/>
    <xf numFmtId="49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0" fillId="4" borderId="1" xfId="0" applyFont="1" applyFill="1" applyBorder="1" applyAlignment="1">
      <alignment horizontal="center" vertical="center" wrapText="1"/>
    </xf>
    <xf numFmtId="3" fontId="30" fillId="4" borderId="1" xfId="0" applyNumberFormat="1" applyFont="1" applyFill="1" applyBorder="1" applyAlignment="1">
      <alignment horizontal="center" vertical="center" wrapText="1"/>
    </xf>
    <xf numFmtId="3" fontId="30" fillId="0" borderId="1" xfId="0" applyNumberFormat="1" applyFont="1" applyBorder="1" applyAlignment="1">
      <alignment horizontal="center" vertical="center"/>
    </xf>
    <xf numFmtId="0" fontId="14" fillId="0" borderId="0" xfId="0" applyFont="1" applyFill="1" applyBorder="1" applyAlignment="1">
      <alignment wrapText="1"/>
    </xf>
    <xf numFmtId="0" fontId="18" fillId="0" borderId="0" xfId="0" applyFont="1" applyBorder="1" applyAlignment="1">
      <alignment wrapText="1"/>
    </xf>
    <xf numFmtId="0" fontId="13" fillId="0" borderId="1" xfId="0" applyFont="1" applyFill="1" applyBorder="1" applyAlignment="1">
      <alignment horizontal="center" vertical="center" wrapText="1"/>
    </xf>
    <xf numFmtId="4" fontId="28" fillId="2" borderId="0" xfId="1" applyNumberFormat="1" applyFont="1" applyFill="1" applyAlignment="1">
      <alignment horizontal="center" vertical="center"/>
    </xf>
    <xf numFmtId="0" fontId="13" fillId="2" borderId="1" xfId="1" applyFont="1" applyFill="1" applyBorder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right" wrapText="1"/>
    </xf>
    <xf numFmtId="0" fontId="20" fillId="2" borderId="0" xfId="0" applyFont="1" applyFill="1" applyAlignment="1">
      <alignment horizontal="right" wrapText="1"/>
    </xf>
    <xf numFmtId="0" fontId="19" fillId="2" borderId="0" xfId="0" applyFont="1" applyFill="1" applyAlignment="1">
      <alignment horizontal="center" vertical="center" wrapText="1"/>
    </xf>
    <xf numFmtId="0" fontId="20" fillId="2" borderId="0" xfId="0" applyFont="1" applyFill="1" applyAlignment="1"/>
    <xf numFmtId="4" fontId="13" fillId="2" borderId="1" xfId="1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wrapText="1"/>
    </xf>
    <xf numFmtId="0" fontId="17" fillId="2" borderId="0" xfId="0" applyFont="1" applyFill="1" applyAlignment="1">
      <alignment wrapText="1"/>
    </xf>
    <xf numFmtId="2" fontId="17" fillId="2" borderId="0" xfId="0" applyNumberFormat="1" applyFont="1" applyFill="1"/>
    <xf numFmtId="49" fontId="13" fillId="2" borderId="1" xfId="0" applyNumberFormat="1" applyFont="1" applyFill="1" applyBorder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" fontId="28" fillId="2" borderId="0" xfId="1" applyNumberFormat="1" applyFont="1" applyFill="1" applyAlignment="1">
      <alignment horizontal="center" vertical="center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4" fontId="13" fillId="2" borderId="1" xfId="1" applyNumberFormat="1" applyFont="1" applyFill="1" applyBorder="1" applyAlignment="1">
      <alignment horizontal="center" vertical="center" wrapText="1"/>
    </xf>
    <xf numFmtId="0" fontId="0" fillId="2" borderId="0" xfId="0" applyFill="1" applyAlignment="1"/>
    <xf numFmtId="0" fontId="19" fillId="2" borderId="0" xfId="0" applyFont="1" applyFill="1" applyAlignment="1">
      <alignment horizontal="right" wrapText="1"/>
    </xf>
    <xf numFmtId="0" fontId="20" fillId="2" borderId="0" xfId="0" applyFont="1" applyFill="1" applyAlignment="1">
      <alignment horizontal="right" wrapText="1"/>
    </xf>
    <xf numFmtId="0" fontId="19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4" fontId="13" fillId="2" borderId="12" xfId="0" applyNumberFormat="1" applyFont="1" applyFill="1" applyBorder="1" applyAlignment="1">
      <alignment horizontal="center" vertical="center" wrapText="1"/>
    </xf>
    <xf numFmtId="4" fontId="13" fillId="2" borderId="5" xfId="0" applyNumberFormat="1" applyFont="1" applyFill="1" applyBorder="1" applyAlignment="1">
      <alignment horizontal="center" vertical="center"/>
    </xf>
    <xf numFmtId="0" fontId="0" fillId="2" borderId="0" xfId="0" applyFont="1" applyFill="1" applyAlignment="1"/>
    <xf numFmtId="0" fontId="13" fillId="2" borderId="1" xfId="1" applyFont="1" applyFill="1" applyBorder="1" applyAlignment="1">
      <alignment horizontal="center" vertical="center"/>
    </xf>
    <xf numFmtId="4" fontId="13" fillId="2" borderId="1" xfId="1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4" fontId="13" fillId="2" borderId="1" xfId="1" applyNumberFormat="1" applyFont="1" applyFill="1" applyBorder="1" applyAlignment="1">
      <alignment horizontal="center" vertical="center" wrapText="1"/>
    </xf>
    <xf numFmtId="0" fontId="0" fillId="2" borderId="0" xfId="0" applyFill="1" applyAlignment="1"/>
    <xf numFmtId="0" fontId="20" fillId="2" borderId="0" xfId="0" applyFont="1" applyFill="1" applyAlignment="1">
      <alignment horizontal="right" wrapText="1"/>
    </xf>
    <xf numFmtId="0" fontId="13" fillId="2" borderId="1" xfId="0" applyFont="1" applyFill="1" applyBorder="1" applyAlignment="1">
      <alignment horizontal="center" vertical="center" wrapText="1"/>
    </xf>
    <xf numFmtId="166" fontId="13" fillId="2" borderId="5" xfId="0" applyNumberFormat="1" applyFont="1" applyFill="1" applyBorder="1" applyAlignment="1">
      <alignment horizontal="center" vertical="center" wrapText="1"/>
    </xf>
    <xf numFmtId="4" fontId="13" fillId="2" borderId="7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166" fontId="13" fillId="0" borderId="5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2" borderId="0" xfId="0" applyFill="1" applyAlignment="1"/>
    <xf numFmtId="0" fontId="13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166" fontId="13" fillId="2" borderId="1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wrapText="1"/>
    </xf>
    <xf numFmtId="0" fontId="16" fillId="0" borderId="3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49" fontId="16" fillId="0" borderId="3" xfId="0" applyNumberFormat="1" applyFont="1" applyBorder="1" applyAlignment="1">
      <alignment horizontal="left" vertical="top" wrapText="1" shrinkToFit="1"/>
    </xf>
    <xf numFmtId="0" fontId="0" fillId="0" borderId="2" xfId="0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/>
    <xf numFmtId="0" fontId="19" fillId="0" borderId="0" xfId="0" applyFont="1" applyFill="1" applyAlignment="1">
      <alignment horizontal="center" vertical="center" wrapText="1"/>
    </xf>
    <xf numFmtId="0" fontId="0" fillId="0" borderId="0" xfId="0" applyFont="1" applyAlignment="1"/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wrapText="1"/>
    </xf>
    <xf numFmtId="0" fontId="18" fillId="0" borderId="0" xfId="0" applyFont="1" applyBorder="1" applyAlignment="1">
      <alignment wrapText="1"/>
    </xf>
    <xf numFmtId="0" fontId="13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0" fillId="0" borderId="1" xfId="0" applyFont="1" applyBorder="1" applyAlignment="1"/>
    <xf numFmtId="49" fontId="21" fillId="2" borderId="1" xfId="0" applyNumberFormat="1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/>
    </xf>
    <xf numFmtId="0" fontId="21" fillId="3" borderId="1" xfId="0" applyFont="1" applyFill="1" applyBorder="1" applyAlignment="1">
      <alignment horizontal="left" vertical="center" wrapText="1"/>
    </xf>
    <xf numFmtId="49" fontId="21" fillId="3" borderId="1" xfId="0" applyNumberFormat="1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9" fillId="0" borderId="0" xfId="0" applyFont="1" applyAlignment="1">
      <alignment horizontal="left" vertical="top"/>
    </xf>
    <xf numFmtId="4" fontId="28" fillId="2" borderId="0" xfId="1" applyNumberFormat="1" applyFont="1" applyFill="1" applyAlignment="1">
      <alignment horizontal="center" vertical="center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 wrapText="1"/>
    </xf>
    <xf numFmtId="0" fontId="13" fillId="2" borderId="1" xfId="1" applyFont="1" applyFill="1" applyBorder="1" applyAlignment="1">
      <alignment horizontal="center" vertical="center"/>
    </xf>
    <xf numFmtId="4" fontId="13" fillId="2" borderId="1" xfId="1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0" fillId="2" borderId="1" xfId="0" applyFill="1" applyBorder="1" applyAlignment="1"/>
    <xf numFmtId="0" fontId="28" fillId="2" borderId="0" xfId="1" applyFont="1" applyFill="1" applyAlignment="1">
      <alignment horizontal="left" vertical="center" wrapText="1"/>
    </xf>
    <xf numFmtId="0" fontId="19" fillId="2" borderId="0" xfId="1" applyFont="1" applyFill="1" applyBorder="1" applyAlignment="1">
      <alignment horizontal="center" vertical="center" wrapText="1"/>
    </xf>
    <xf numFmtId="0" fontId="0" fillId="2" borderId="0" xfId="0" applyFill="1" applyAlignment="1"/>
    <xf numFmtId="4" fontId="19" fillId="2" borderId="0" xfId="1" applyNumberFormat="1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top" wrapText="1"/>
    </xf>
    <xf numFmtId="0" fontId="17" fillId="2" borderId="4" xfId="0" applyFont="1" applyFill="1" applyBorder="1" applyAlignment="1">
      <alignment horizontal="center" vertical="top" wrapText="1"/>
    </xf>
    <xf numFmtId="0" fontId="17" fillId="2" borderId="2" xfId="0" applyFont="1" applyFill="1" applyBorder="1" applyAlignment="1">
      <alignment horizontal="center" vertical="top" wrapText="1"/>
    </xf>
    <xf numFmtId="4" fontId="28" fillId="2" borderId="0" xfId="1" applyNumberFormat="1" applyFont="1" applyFill="1" applyAlignment="1">
      <alignment horizontal="center" vertical="top"/>
    </xf>
    <xf numFmtId="0" fontId="19" fillId="2" borderId="0" xfId="0" applyFont="1" applyFill="1" applyAlignment="1">
      <alignment horizontal="center" wrapText="1"/>
    </xf>
    <xf numFmtId="0" fontId="13" fillId="2" borderId="3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49" fontId="13" fillId="2" borderId="3" xfId="0" applyNumberFormat="1" applyFont="1" applyFill="1" applyBorder="1" applyAlignment="1">
      <alignment horizontal="center" vertical="center" wrapText="1"/>
    </xf>
    <xf numFmtId="49" fontId="13" fillId="2" borderId="4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right" wrapText="1"/>
    </xf>
    <xf numFmtId="0" fontId="20" fillId="2" borderId="0" xfId="0" applyFont="1" applyFill="1" applyAlignment="1">
      <alignment horizontal="right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top" wrapText="1"/>
    </xf>
    <xf numFmtId="0" fontId="13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vertical="center" wrapText="1"/>
    </xf>
    <xf numFmtId="0" fontId="0" fillId="2" borderId="6" xfId="0" applyFill="1" applyBorder="1" applyAlignment="1"/>
    <xf numFmtId="0" fontId="0" fillId="2" borderId="7" xfId="0" applyFill="1" applyBorder="1" applyAlignment="1"/>
    <xf numFmtId="0" fontId="19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13" fillId="2" borderId="4" xfId="1" applyFont="1" applyFill="1" applyBorder="1" applyAlignment="1">
      <alignment horizontal="center" vertical="top" wrapText="1"/>
    </xf>
    <xf numFmtId="0" fontId="17" fillId="2" borderId="4" xfId="0" applyFont="1" applyFill="1" applyBorder="1" applyAlignment="1">
      <alignment horizontal="center" wrapText="1"/>
    </xf>
    <xf numFmtId="0" fontId="17" fillId="2" borderId="2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 wrapText="1"/>
    </xf>
    <xf numFmtId="49" fontId="27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19" fillId="2" borderId="0" xfId="0" applyFont="1" applyFill="1" applyAlignment="1">
      <alignment horizontal="center" vertical="top" wrapText="1"/>
    </xf>
    <xf numFmtId="0" fontId="0" fillId="2" borderId="0" xfId="0" applyFill="1" applyAlignment="1">
      <alignment vertical="top"/>
    </xf>
  </cellXfs>
  <cellStyles count="5">
    <cellStyle name="Обычный" xfId="0" builtinId="0"/>
    <cellStyle name="Обычный 2" xfId="1"/>
    <cellStyle name="Обычный 2 2" xfId="3"/>
    <cellStyle name="Обычный 2_Охр. окр. среды 2 кв." xfId="4"/>
    <cellStyle name="Финансовый 2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H94"/>
  <sheetViews>
    <sheetView view="pageLayout" topLeftCell="A31" zoomScaleSheetLayoutView="100" workbookViewId="0">
      <selection activeCell="B11" sqref="B11"/>
    </sheetView>
  </sheetViews>
  <sheetFormatPr defaultColWidth="9.140625" defaultRowHeight="15.75" x14ac:dyDescent="0.25"/>
  <cols>
    <col min="1" max="1" width="27" style="9" customWidth="1"/>
    <col min="2" max="2" width="69.85546875" style="9" customWidth="1"/>
    <col min="3" max="16384" width="9.140625" style="9"/>
  </cols>
  <sheetData>
    <row r="1" spans="1:2" ht="47.25" x14ac:dyDescent="0.25">
      <c r="A1" s="2"/>
      <c r="B1" s="3" t="s">
        <v>23</v>
      </c>
    </row>
    <row r="2" spans="1:2" x14ac:dyDescent="0.25">
      <c r="A2" s="2"/>
      <c r="B2" s="3"/>
    </row>
    <row r="3" spans="1:2" x14ac:dyDescent="0.25">
      <c r="A3" s="2"/>
      <c r="B3" s="4"/>
    </row>
    <row r="4" spans="1:2" ht="59.25" customHeight="1" x14ac:dyDescent="0.25">
      <c r="A4" s="5" t="s">
        <v>26</v>
      </c>
      <c r="B4" s="5"/>
    </row>
    <row r="5" spans="1:2" ht="71.25" customHeight="1" x14ac:dyDescent="0.25">
      <c r="A5" s="14" t="s">
        <v>13</v>
      </c>
      <c r="B5" s="14" t="s">
        <v>89</v>
      </c>
    </row>
    <row r="6" spans="1:2" ht="32.25" customHeight="1" x14ac:dyDescent="0.25">
      <c r="A6" s="217" t="s">
        <v>14</v>
      </c>
      <c r="B6" s="37" t="s">
        <v>90</v>
      </c>
    </row>
    <row r="7" spans="1:2" ht="33.75" customHeight="1" x14ac:dyDescent="0.25">
      <c r="A7" s="214"/>
      <c r="B7" s="37" t="s">
        <v>126</v>
      </c>
    </row>
    <row r="8" spans="1:2" ht="34.5" customHeight="1" x14ac:dyDescent="0.25">
      <c r="A8" s="214"/>
      <c r="B8" s="37" t="s">
        <v>91</v>
      </c>
    </row>
    <row r="9" spans="1:2" s="6" customFormat="1" ht="32.25" customHeight="1" x14ac:dyDescent="0.2">
      <c r="A9" s="214"/>
      <c r="B9" s="37" t="s">
        <v>92</v>
      </c>
    </row>
    <row r="10" spans="1:2" s="6" customFormat="1" ht="33.75" customHeight="1" x14ac:dyDescent="0.2">
      <c r="A10" s="214"/>
      <c r="B10" s="37" t="s">
        <v>133</v>
      </c>
    </row>
    <row r="11" spans="1:2" s="6" customFormat="1" ht="43.5" customHeight="1" x14ac:dyDescent="0.2">
      <c r="A11" s="218"/>
      <c r="B11" s="38" t="s">
        <v>119</v>
      </c>
    </row>
    <row r="12" spans="1:2" s="6" customFormat="1" ht="241.5" hidden="1" customHeight="1" x14ac:dyDescent="0.2">
      <c r="A12" s="13"/>
      <c r="B12" s="10"/>
    </row>
    <row r="13" spans="1:2" s="7" customFormat="1" ht="60.75" customHeight="1" x14ac:dyDescent="0.25">
      <c r="A13" s="14" t="s">
        <v>15</v>
      </c>
      <c r="B13" s="39" t="s">
        <v>120</v>
      </c>
    </row>
    <row r="14" spans="1:2" s="7" customFormat="1" ht="19.5" customHeight="1" x14ac:dyDescent="0.25">
      <c r="A14" s="213" t="s">
        <v>93</v>
      </c>
      <c r="B14" s="16" t="s">
        <v>44</v>
      </c>
    </row>
    <row r="15" spans="1:2" s="7" customFormat="1" ht="16.5" customHeight="1" x14ac:dyDescent="0.25">
      <c r="A15" s="214"/>
      <c r="B15" s="17" t="s">
        <v>45</v>
      </c>
    </row>
    <row r="16" spans="1:2" s="7" customFormat="1" ht="30.75" customHeight="1" x14ac:dyDescent="0.25">
      <c r="A16" s="214"/>
      <c r="B16" s="41" t="s">
        <v>94</v>
      </c>
    </row>
    <row r="17" spans="1:2" s="7" customFormat="1" ht="51" customHeight="1" x14ac:dyDescent="0.25">
      <c r="A17" s="214"/>
      <c r="B17" s="40" t="s">
        <v>118</v>
      </c>
    </row>
    <row r="18" spans="1:2" s="12" customFormat="1" ht="78" customHeight="1" x14ac:dyDescent="0.25">
      <c r="A18" s="219" t="s">
        <v>46</v>
      </c>
      <c r="B18" s="24" t="s">
        <v>66</v>
      </c>
    </row>
    <row r="19" spans="1:2" s="12" customFormat="1" ht="39" customHeight="1" x14ac:dyDescent="0.25">
      <c r="A19" s="220"/>
      <c r="B19" s="25" t="s">
        <v>67</v>
      </c>
    </row>
    <row r="20" spans="1:2" s="12" customFormat="1" ht="51.75" customHeight="1" x14ac:dyDescent="0.25">
      <c r="A20" s="221" t="s">
        <v>47</v>
      </c>
      <c r="B20" s="39" t="s">
        <v>68</v>
      </c>
    </row>
    <row r="21" spans="1:2" s="12" customFormat="1" ht="48.75" customHeight="1" x14ac:dyDescent="0.25">
      <c r="A21" s="221"/>
      <c r="B21" s="27" t="s">
        <v>69</v>
      </c>
    </row>
    <row r="22" spans="1:2" s="12" customFormat="1" ht="19.5" customHeight="1" x14ac:dyDescent="0.25">
      <c r="A22" s="221"/>
      <c r="B22" s="27" t="s">
        <v>70</v>
      </c>
    </row>
    <row r="23" spans="1:2" s="12" customFormat="1" ht="36.75" customHeight="1" x14ac:dyDescent="0.25">
      <c r="A23" s="221"/>
      <c r="B23" s="27" t="s">
        <v>95</v>
      </c>
    </row>
    <row r="24" spans="1:2" s="12" customFormat="1" ht="50.25" customHeight="1" x14ac:dyDescent="0.25">
      <c r="A24" s="221"/>
      <c r="B24" s="27" t="s">
        <v>71</v>
      </c>
    </row>
    <row r="25" spans="1:2" s="12" customFormat="1" ht="35.25" customHeight="1" x14ac:dyDescent="0.25">
      <c r="A25" s="221"/>
      <c r="B25" s="28" t="s">
        <v>72</v>
      </c>
    </row>
    <row r="26" spans="1:2" s="12" customFormat="1" ht="33.75" customHeight="1" x14ac:dyDescent="0.25">
      <c r="A26" s="221"/>
      <c r="B26" s="27" t="s">
        <v>73</v>
      </c>
    </row>
    <row r="27" spans="1:2" s="12" customFormat="1" ht="32.25" customHeight="1" x14ac:dyDescent="0.25">
      <c r="A27" s="221"/>
      <c r="B27" s="27" t="s">
        <v>74</v>
      </c>
    </row>
    <row r="28" spans="1:2" s="12" customFormat="1" ht="34.5" customHeight="1" x14ac:dyDescent="0.25">
      <c r="A28" s="221"/>
      <c r="B28" s="27" t="s">
        <v>75</v>
      </c>
    </row>
    <row r="29" spans="1:2" s="12" customFormat="1" ht="69" customHeight="1" x14ac:dyDescent="0.25">
      <c r="A29" s="221"/>
      <c r="B29" s="27" t="s">
        <v>76</v>
      </c>
    </row>
    <row r="30" spans="1:2" s="12" customFormat="1" ht="64.5" customHeight="1" x14ac:dyDescent="0.25">
      <c r="A30" s="221"/>
      <c r="B30" s="29" t="s">
        <v>77</v>
      </c>
    </row>
    <row r="31" spans="1:2" s="12" customFormat="1" ht="31.5" customHeight="1" x14ac:dyDescent="0.25">
      <c r="A31" s="213" t="s">
        <v>48</v>
      </c>
      <c r="B31" s="19" t="s">
        <v>82</v>
      </c>
    </row>
    <row r="32" spans="1:2" s="12" customFormat="1" ht="49.5" customHeight="1" x14ac:dyDescent="0.25">
      <c r="A32" s="215"/>
      <c r="B32" s="35" t="s">
        <v>128</v>
      </c>
    </row>
    <row r="33" spans="1:3" s="12" customFormat="1" ht="8.25" customHeight="1" x14ac:dyDescent="0.25">
      <c r="A33" s="218"/>
      <c r="B33" s="18"/>
    </row>
    <row r="34" spans="1:3" s="12" customFormat="1" ht="81" customHeight="1" x14ac:dyDescent="0.25">
      <c r="A34" s="14" t="s">
        <v>49</v>
      </c>
      <c r="B34" s="15" t="s">
        <v>50</v>
      </c>
    </row>
    <row r="35" spans="1:3" s="12" customFormat="1" ht="30.75" customHeight="1" x14ac:dyDescent="0.25">
      <c r="A35" s="213"/>
      <c r="B35" s="32" t="s">
        <v>97</v>
      </c>
    </row>
    <row r="36" spans="1:3" s="12" customFormat="1" ht="16.5" customHeight="1" x14ac:dyDescent="0.25">
      <c r="A36" s="214"/>
      <c r="B36" s="10" t="s">
        <v>51</v>
      </c>
    </row>
    <row r="37" spans="1:3" s="12" customFormat="1" ht="13.5" customHeight="1" x14ac:dyDescent="0.25">
      <c r="A37" s="214"/>
      <c r="B37" s="10" t="s">
        <v>98</v>
      </c>
    </row>
    <row r="38" spans="1:3" s="12" customFormat="1" ht="18.75" customHeight="1" x14ac:dyDescent="0.25">
      <c r="A38" s="214"/>
      <c r="B38" s="10" t="s">
        <v>99</v>
      </c>
    </row>
    <row r="39" spans="1:3" s="12" customFormat="1" ht="17.25" customHeight="1" x14ac:dyDescent="0.25">
      <c r="A39" s="214"/>
      <c r="B39" s="10" t="s">
        <v>52</v>
      </c>
    </row>
    <row r="40" spans="1:3" s="12" customFormat="1" ht="16.5" customHeight="1" x14ac:dyDescent="0.25">
      <c r="A40" s="214"/>
      <c r="B40" s="33" t="s">
        <v>53</v>
      </c>
    </row>
    <row r="41" spans="1:3" s="12" customFormat="1" ht="21.75" customHeight="1" x14ac:dyDescent="0.25">
      <c r="A41" s="214"/>
      <c r="B41" s="33" t="s">
        <v>100</v>
      </c>
    </row>
    <row r="42" spans="1:3" s="12" customFormat="1" ht="11.25" customHeight="1" x14ac:dyDescent="0.25">
      <c r="A42" s="214"/>
      <c r="B42" s="33" t="s">
        <v>51</v>
      </c>
    </row>
    <row r="43" spans="1:3" s="12" customFormat="1" ht="15" customHeight="1" x14ac:dyDescent="0.25">
      <c r="A43" s="214"/>
      <c r="B43" s="33" t="s">
        <v>86</v>
      </c>
    </row>
    <row r="44" spans="1:3" ht="16.5" customHeight="1" x14ac:dyDescent="0.25">
      <c r="A44" s="214"/>
      <c r="B44" s="34" t="s">
        <v>101</v>
      </c>
      <c r="C44" s="12"/>
    </row>
    <row r="45" spans="1:3" s="12" customFormat="1" ht="20.25" customHeight="1" x14ac:dyDescent="0.25">
      <c r="A45" s="214"/>
      <c r="B45" s="42" t="s">
        <v>54</v>
      </c>
    </row>
    <row r="46" spans="1:3" s="12" customFormat="1" ht="19.5" customHeight="1" x14ac:dyDescent="0.25">
      <c r="A46" s="214"/>
      <c r="B46" s="33" t="s">
        <v>102</v>
      </c>
    </row>
    <row r="47" spans="1:3" s="12" customFormat="1" ht="15" customHeight="1" x14ac:dyDescent="0.25">
      <c r="A47" s="214"/>
      <c r="B47" s="33" t="s">
        <v>51</v>
      </c>
    </row>
    <row r="48" spans="1:3" s="12" customFormat="1" ht="16.5" customHeight="1" x14ac:dyDescent="0.25">
      <c r="A48" s="214"/>
      <c r="B48" s="33" t="s">
        <v>105</v>
      </c>
    </row>
    <row r="49" spans="1:8" s="8" customFormat="1" ht="14.25" customHeight="1" x14ac:dyDescent="0.25">
      <c r="A49" s="214"/>
      <c r="B49" s="33" t="s">
        <v>103</v>
      </c>
      <c r="H49" s="9"/>
    </row>
    <row r="50" spans="1:8" s="8" customFormat="1" ht="20.25" customHeight="1" x14ac:dyDescent="0.25">
      <c r="A50" s="214"/>
      <c r="B50" s="33" t="s">
        <v>55</v>
      </c>
      <c r="H50" s="12"/>
    </row>
    <row r="51" spans="1:8" s="8" customFormat="1" ht="20.25" customHeight="1" x14ac:dyDescent="0.25">
      <c r="A51" s="214"/>
      <c r="B51" s="33" t="s">
        <v>104</v>
      </c>
      <c r="H51" s="12"/>
    </row>
    <row r="52" spans="1:8" s="8" customFormat="1" ht="15" customHeight="1" x14ac:dyDescent="0.25">
      <c r="A52" s="214"/>
      <c r="B52" s="33" t="s">
        <v>51</v>
      </c>
      <c r="H52" s="12"/>
    </row>
    <row r="53" spans="1:8" s="8" customFormat="1" ht="14.25" customHeight="1" x14ac:dyDescent="0.25">
      <c r="A53" s="214"/>
      <c r="B53" s="33" t="s">
        <v>85</v>
      </c>
      <c r="H53" s="12"/>
    </row>
    <row r="54" spans="1:8" s="8" customFormat="1" ht="16.5" customHeight="1" x14ac:dyDescent="0.25">
      <c r="A54" s="214"/>
      <c r="B54" s="33" t="s">
        <v>106</v>
      </c>
      <c r="H54" s="12"/>
    </row>
    <row r="55" spans="1:8" s="8" customFormat="1" ht="19.5" customHeight="1" x14ac:dyDescent="0.25">
      <c r="A55" s="214"/>
      <c r="B55" s="33" t="s">
        <v>56</v>
      </c>
      <c r="H55" s="11"/>
    </row>
    <row r="56" spans="1:8" s="8" customFormat="1" ht="19.5" customHeight="1" x14ac:dyDescent="0.25">
      <c r="A56" s="214"/>
      <c r="B56" s="33" t="s">
        <v>107</v>
      </c>
      <c r="H56" s="9"/>
    </row>
    <row r="57" spans="1:8" s="8" customFormat="1" ht="17.25" customHeight="1" x14ac:dyDescent="0.25">
      <c r="A57" s="214"/>
      <c r="B57" s="33" t="s">
        <v>51</v>
      </c>
      <c r="H57" s="9"/>
    </row>
    <row r="58" spans="1:8" s="8" customFormat="1" ht="15" customHeight="1" x14ac:dyDescent="0.25">
      <c r="A58" s="214"/>
      <c r="B58" s="33" t="s">
        <v>108</v>
      </c>
      <c r="H58" s="12"/>
    </row>
    <row r="59" spans="1:8" s="8" customFormat="1" ht="15.75" customHeight="1" x14ac:dyDescent="0.25">
      <c r="A59" s="214"/>
      <c r="B59" s="33" t="s">
        <v>109</v>
      </c>
      <c r="H59" s="12"/>
    </row>
    <row r="60" spans="1:8" s="8" customFormat="1" ht="21" customHeight="1" x14ac:dyDescent="0.25">
      <c r="A60" s="214"/>
      <c r="B60" s="33" t="s">
        <v>57</v>
      </c>
      <c r="H60" s="12"/>
    </row>
    <row r="61" spans="1:8" s="8" customFormat="1" ht="21" customHeight="1" x14ac:dyDescent="0.25">
      <c r="A61" s="214"/>
      <c r="B61" s="33" t="s">
        <v>110</v>
      </c>
      <c r="H61" s="12"/>
    </row>
    <row r="62" spans="1:8" s="8" customFormat="1" ht="15.75" customHeight="1" x14ac:dyDescent="0.25">
      <c r="A62" s="214"/>
      <c r="B62" s="33" t="s">
        <v>51</v>
      </c>
      <c r="H62" s="12"/>
    </row>
    <row r="63" spans="1:8" s="8" customFormat="1" ht="12" customHeight="1" x14ac:dyDescent="0.25">
      <c r="A63" s="214"/>
      <c r="B63" s="33" t="s">
        <v>111</v>
      </c>
      <c r="H63" s="12"/>
    </row>
    <row r="64" spans="1:8" s="8" customFormat="1" ht="15.75" customHeight="1" x14ac:dyDescent="0.25">
      <c r="A64" s="214"/>
      <c r="B64" s="33" t="s">
        <v>112</v>
      </c>
      <c r="H64" s="12"/>
    </row>
    <row r="65" spans="1:8" s="8" customFormat="1" ht="18" customHeight="1" x14ac:dyDescent="0.25">
      <c r="A65" s="214"/>
      <c r="B65" s="33" t="s">
        <v>58</v>
      </c>
      <c r="H65" s="12"/>
    </row>
    <row r="66" spans="1:8" s="8" customFormat="1" ht="24.75" customHeight="1" x14ac:dyDescent="0.25">
      <c r="A66" s="214"/>
      <c r="B66" s="33" t="s">
        <v>113</v>
      </c>
      <c r="H66" s="12"/>
    </row>
    <row r="67" spans="1:8" s="8" customFormat="1" ht="13.5" customHeight="1" x14ac:dyDescent="0.25">
      <c r="A67" s="214"/>
      <c r="B67" s="33" t="s">
        <v>51</v>
      </c>
      <c r="H67" s="12"/>
    </row>
    <row r="68" spans="1:8" s="8" customFormat="1" ht="13.5" customHeight="1" x14ac:dyDescent="0.25">
      <c r="A68" s="214"/>
      <c r="B68" s="33" t="s">
        <v>125</v>
      </c>
      <c r="H68" s="12"/>
    </row>
    <row r="69" spans="1:8" s="8" customFormat="1" ht="14.25" customHeight="1" x14ac:dyDescent="0.25">
      <c r="A69" s="214"/>
      <c r="B69" s="33" t="s">
        <v>114</v>
      </c>
      <c r="H69" s="12"/>
    </row>
    <row r="70" spans="1:8" s="8" customFormat="1" ht="21" customHeight="1" x14ac:dyDescent="0.25">
      <c r="A70" s="214"/>
      <c r="B70" s="33" t="s">
        <v>59</v>
      </c>
      <c r="H70" s="12"/>
    </row>
    <row r="71" spans="1:8" s="8" customFormat="1" ht="23.25" customHeight="1" x14ac:dyDescent="0.25">
      <c r="A71" s="214"/>
      <c r="B71" s="33" t="s">
        <v>115</v>
      </c>
      <c r="H71" s="12"/>
    </row>
    <row r="72" spans="1:8" s="8" customFormat="1" ht="12.75" customHeight="1" x14ac:dyDescent="0.25">
      <c r="A72" s="214"/>
      <c r="B72" s="33" t="s">
        <v>51</v>
      </c>
      <c r="H72" s="12"/>
    </row>
    <row r="73" spans="1:8" s="8" customFormat="1" ht="15.75" customHeight="1" x14ac:dyDescent="0.25">
      <c r="A73" s="214"/>
      <c r="B73" s="33" t="s">
        <v>116</v>
      </c>
      <c r="H73" s="12"/>
    </row>
    <row r="74" spans="1:8" s="8" customFormat="1" ht="17.25" customHeight="1" x14ac:dyDescent="0.25">
      <c r="A74" s="214"/>
      <c r="B74" s="34" t="s">
        <v>117</v>
      </c>
      <c r="H74" s="12"/>
    </row>
    <row r="75" spans="1:8" s="8" customFormat="1" ht="36" customHeight="1" x14ac:dyDescent="0.25">
      <c r="A75" s="213" t="s">
        <v>60</v>
      </c>
      <c r="B75" s="30" t="s">
        <v>78</v>
      </c>
      <c r="H75" s="12"/>
    </row>
    <row r="76" spans="1:8" s="8" customFormat="1" ht="36.75" customHeight="1" x14ac:dyDescent="0.25">
      <c r="A76" s="215"/>
      <c r="B76" s="31" t="s">
        <v>79</v>
      </c>
      <c r="H76" s="12"/>
    </row>
    <row r="77" spans="1:8" s="8" customFormat="1" ht="50.25" customHeight="1" x14ac:dyDescent="0.25">
      <c r="A77" s="215"/>
      <c r="B77" s="31" t="s">
        <v>121</v>
      </c>
      <c r="H77" s="12"/>
    </row>
    <row r="78" spans="1:8" s="8" customFormat="1" ht="68.25" customHeight="1" x14ac:dyDescent="0.25">
      <c r="A78" s="215"/>
      <c r="B78" s="31" t="s">
        <v>80</v>
      </c>
      <c r="H78" s="12"/>
    </row>
    <row r="79" spans="1:8" s="8" customFormat="1" ht="51" customHeight="1" x14ac:dyDescent="0.25">
      <c r="A79" s="215"/>
      <c r="B79" s="31" t="s">
        <v>81</v>
      </c>
      <c r="H79" s="12"/>
    </row>
    <row r="80" spans="1:8" s="8" customFormat="1" ht="21" customHeight="1" x14ac:dyDescent="0.25">
      <c r="A80" s="215"/>
      <c r="B80" s="29" t="s">
        <v>122</v>
      </c>
      <c r="H80" s="12"/>
    </row>
    <row r="81" spans="1:8" s="8" customFormat="1" ht="50.25" customHeight="1" x14ac:dyDescent="0.25">
      <c r="A81" s="215"/>
      <c r="B81" s="26" t="s">
        <v>123</v>
      </c>
      <c r="H81" s="12"/>
    </row>
    <row r="82" spans="1:8" s="8" customFormat="1" ht="36" customHeight="1" x14ac:dyDescent="0.25">
      <c r="A82" s="215"/>
      <c r="B82" s="31" t="s">
        <v>83</v>
      </c>
      <c r="H82" s="12"/>
    </row>
    <row r="83" spans="1:8" s="8" customFormat="1" ht="30" customHeight="1" x14ac:dyDescent="0.25">
      <c r="A83" s="215"/>
      <c r="B83" s="31" t="s">
        <v>124</v>
      </c>
      <c r="H83" s="12"/>
    </row>
    <row r="84" spans="1:8" s="8" customFormat="1" ht="12.75" customHeight="1" x14ac:dyDescent="0.25">
      <c r="A84" s="216"/>
      <c r="B84" s="36"/>
      <c r="H84" s="12"/>
    </row>
    <row r="85" spans="1:8" ht="27.75" customHeight="1" x14ac:dyDescent="0.25">
      <c r="A85" s="20" t="s">
        <v>61</v>
      </c>
      <c r="B85" s="21"/>
      <c r="C85" s="12"/>
    </row>
    <row r="86" spans="1:8" ht="84" hidden="1" customHeight="1" x14ac:dyDescent="0.25">
      <c r="A86" s="20" t="s">
        <v>62</v>
      </c>
      <c r="B86" s="21"/>
      <c r="C86" s="12"/>
    </row>
    <row r="87" spans="1:8" ht="7.5" customHeight="1" x14ac:dyDescent="0.25">
      <c r="A87" s="8"/>
      <c r="B87" s="22"/>
      <c r="C87" s="12"/>
    </row>
    <row r="88" spans="1:8" ht="91.5" customHeight="1" x14ac:dyDescent="0.25">
      <c r="A88" s="212" t="s">
        <v>41</v>
      </c>
      <c r="B88" s="22"/>
      <c r="C88" s="12"/>
    </row>
    <row r="89" spans="1:8" x14ac:dyDescent="0.25">
      <c r="A89" s="212"/>
      <c r="B89" s="23" t="s">
        <v>63</v>
      </c>
    </row>
    <row r="90" spans="1:8" x14ac:dyDescent="0.25">
      <c r="B90" s="12"/>
    </row>
    <row r="91" spans="1:8" x14ac:dyDescent="0.25">
      <c r="B91" s="12"/>
    </row>
    <row r="92" spans="1:8" x14ac:dyDescent="0.25">
      <c r="B92" s="12"/>
    </row>
    <row r="93" spans="1:8" x14ac:dyDescent="0.25">
      <c r="B93" s="12"/>
    </row>
    <row r="94" spans="1:8" x14ac:dyDescent="0.25">
      <c r="B94" s="12"/>
    </row>
  </sheetData>
  <mergeCells count="8">
    <mergeCell ref="A88:A89"/>
    <mergeCell ref="A35:A74"/>
    <mergeCell ref="A75:A84"/>
    <mergeCell ref="A6:A11"/>
    <mergeCell ref="A14:A17"/>
    <mergeCell ref="A18:A19"/>
    <mergeCell ref="A20:A30"/>
    <mergeCell ref="A31:A33"/>
  </mergeCells>
  <printOptions horizontalCentered="1"/>
  <pageMargins left="0.39370078740157483" right="0.39370078740157483" top="0.55118110236220474" bottom="0.55118110236220474" header="0.27559055118110237" footer="0.27559055118110237"/>
  <pageSetup paperSize="9" firstPageNumber="163" fitToHeight="0" orientation="portrait" r:id="rId1"/>
  <headerFooter differentFirst="1" scaleWithDoc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 fitToPage="1"/>
  </sheetPr>
  <dimension ref="A2:S30"/>
  <sheetViews>
    <sheetView tabSelected="1" view="pageBreakPreview" topLeftCell="A16" zoomScale="57" zoomScaleSheetLayoutView="57" workbookViewId="0">
      <selection activeCell="H30" sqref="H30"/>
    </sheetView>
  </sheetViews>
  <sheetFormatPr defaultColWidth="9.140625" defaultRowHeight="20.25" x14ac:dyDescent="0.3"/>
  <cols>
    <col min="1" max="1" width="11.140625" style="1" customWidth="1"/>
    <col min="2" max="2" width="51" style="1" customWidth="1"/>
    <col min="3" max="3" width="20.85546875" style="1" hidden="1" customWidth="1"/>
    <col min="4" max="4" width="17.28515625" style="1" customWidth="1"/>
    <col min="5" max="5" width="17.28515625" style="1" hidden="1" customWidth="1"/>
    <col min="6" max="6" width="17.5703125" style="1" customWidth="1"/>
    <col min="7" max="7" width="17.28515625" style="1" customWidth="1"/>
    <col min="8" max="9" width="17.28515625" style="43" customWidth="1"/>
    <col min="10" max="10" width="17.28515625" style="1" customWidth="1"/>
    <col min="11" max="13" width="17.28515625" style="64" customWidth="1"/>
    <col min="14" max="14" width="15.85546875" style="61" customWidth="1"/>
    <col min="15" max="15" width="15.7109375" style="1" customWidth="1"/>
    <col min="16" max="16" width="15.7109375" style="64" customWidth="1"/>
    <col min="17" max="17" width="14.7109375" style="64" customWidth="1"/>
    <col min="18" max="18" width="9.140625" style="1"/>
    <col min="19" max="19" width="17.140625" style="1" customWidth="1"/>
    <col min="20" max="16384" width="9.140625" style="1"/>
  </cols>
  <sheetData>
    <row r="2" spans="1:19" s="44" customFormat="1" ht="15.75" customHeight="1" x14ac:dyDescent="0.3">
      <c r="A2" s="50"/>
      <c r="F2" s="51"/>
      <c r="G2" s="51"/>
      <c r="H2" s="52"/>
      <c r="I2" s="224"/>
      <c r="J2" s="225"/>
      <c r="K2" s="225"/>
      <c r="L2" s="225"/>
      <c r="M2" s="225"/>
      <c r="N2" s="222" t="s">
        <v>213</v>
      </c>
      <c r="O2" s="223"/>
      <c r="P2" s="223"/>
      <c r="Q2" s="223"/>
    </row>
    <row r="3" spans="1:19" s="44" customFormat="1" ht="117" customHeight="1" x14ac:dyDescent="0.3">
      <c r="A3" s="50"/>
      <c r="F3" s="51"/>
      <c r="G3" s="51"/>
      <c r="H3" s="52"/>
      <c r="I3" s="225"/>
      <c r="J3" s="225"/>
      <c r="K3" s="225"/>
      <c r="L3" s="225"/>
      <c r="M3" s="225"/>
      <c r="N3" s="223"/>
      <c r="O3" s="223"/>
      <c r="P3" s="223"/>
      <c r="Q3" s="223"/>
    </row>
    <row r="4" spans="1:19" s="44" customFormat="1" ht="60" customHeight="1" x14ac:dyDescent="0.3">
      <c r="A4" s="226" t="s">
        <v>266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7"/>
      <c r="O4" s="227"/>
      <c r="P4" s="227"/>
      <c r="Q4" s="227"/>
    </row>
    <row r="5" spans="1:19" ht="15.75" hidden="1" customHeight="1" x14ac:dyDescent="0.3">
      <c r="A5" s="53"/>
      <c r="B5" s="43"/>
      <c r="C5" s="43"/>
      <c r="D5" s="54"/>
      <c r="E5" s="54"/>
      <c r="F5" s="55"/>
      <c r="G5" s="55"/>
      <c r="H5" s="55"/>
      <c r="I5" s="55"/>
      <c r="J5" s="55"/>
      <c r="K5" s="65"/>
      <c r="L5" s="65"/>
      <c r="M5" s="65"/>
    </row>
    <row r="6" spans="1:19" s="56" customFormat="1" ht="32.25" customHeight="1" x14ac:dyDescent="0.3">
      <c r="A6" s="230" t="s">
        <v>1</v>
      </c>
      <c r="B6" s="230" t="s">
        <v>3</v>
      </c>
      <c r="C6" s="230" t="s">
        <v>33</v>
      </c>
      <c r="D6" s="230" t="s">
        <v>4</v>
      </c>
      <c r="E6" s="233" t="s">
        <v>127</v>
      </c>
      <c r="F6" s="233" t="s">
        <v>160</v>
      </c>
      <c r="G6" s="230" t="s">
        <v>16</v>
      </c>
      <c r="H6" s="234"/>
      <c r="I6" s="234"/>
      <c r="J6" s="234"/>
      <c r="K6" s="234"/>
      <c r="L6" s="234"/>
      <c r="M6" s="234"/>
      <c r="N6" s="237"/>
      <c r="O6" s="237"/>
      <c r="P6" s="237"/>
      <c r="Q6" s="237"/>
    </row>
    <row r="7" spans="1:19" s="56" customFormat="1" ht="48.75" customHeight="1" x14ac:dyDescent="0.3">
      <c r="A7" s="230"/>
      <c r="B7" s="230"/>
      <c r="C7" s="230"/>
      <c r="D7" s="230"/>
      <c r="E7" s="234"/>
      <c r="F7" s="234"/>
      <c r="G7" s="152">
        <v>2014</v>
      </c>
      <c r="H7" s="47">
        <v>2015</v>
      </c>
      <c r="I7" s="47">
        <v>2016</v>
      </c>
      <c r="J7" s="152">
        <v>2017</v>
      </c>
      <c r="K7" s="152">
        <v>2018</v>
      </c>
      <c r="L7" s="152">
        <v>2019</v>
      </c>
      <c r="M7" s="152">
        <v>2020</v>
      </c>
      <c r="N7" s="69">
        <v>2021</v>
      </c>
      <c r="O7" s="68">
        <v>2022</v>
      </c>
      <c r="P7" s="69">
        <v>2023</v>
      </c>
      <c r="Q7" s="69">
        <v>2024</v>
      </c>
    </row>
    <row r="8" spans="1:19" s="56" customFormat="1" ht="36.75" customHeight="1" x14ac:dyDescent="0.3">
      <c r="A8" s="241" t="s">
        <v>172</v>
      </c>
      <c r="B8" s="241"/>
      <c r="C8" s="241"/>
      <c r="D8" s="241"/>
      <c r="E8" s="241"/>
      <c r="F8" s="241"/>
      <c r="G8" s="241"/>
      <c r="H8" s="241"/>
      <c r="I8" s="241"/>
      <c r="J8" s="241"/>
      <c r="K8" s="241"/>
      <c r="L8" s="241"/>
      <c r="M8" s="241"/>
      <c r="N8" s="237"/>
      <c r="O8" s="237"/>
      <c r="P8" s="237"/>
      <c r="Q8" s="237"/>
    </row>
    <row r="9" spans="1:19" s="60" customFormat="1" ht="98.25" customHeight="1" x14ac:dyDescent="0.3">
      <c r="A9" s="151" t="s">
        <v>2</v>
      </c>
      <c r="B9" s="151" t="s">
        <v>201</v>
      </c>
      <c r="C9" s="151" t="s">
        <v>170</v>
      </c>
      <c r="D9" s="151" t="s">
        <v>171</v>
      </c>
      <c r="E9" s="151" t="s">
        <v>130</v>
      </c>
      <c r="F9" s="151" t="s">
        <v>64</v>
      </c>
      <c r="G9" s="151" t="s">
        <v>65</v>
      </c>
      <c r="H9" s="109" t="s">
        <v>155</v>
      </c>
      <c r="I9" s="109" t="s">
        <v>155</v>
      </c>
      <c r="J9" s="151" t="s">
        <v>198</v>
      </c>
      <c r="K9" s="151" t="s">
        <v>204</v>
      </c>
      <c r="L9" s="151" t="s">
        <v>225</v>
      </c>
      <c r="M9" s="151" t="s">
        <v>228</v>
      </c>
      <c r="N9" s="154">
        <v>804.59</v>
      </c>
      <c r="O9" s="69">
        <v>795.46</v>
      </c>
      <c r="P9" s="69">
        <v>820</v>
      </c>
      <c r="Q9" s="69">
        <v>830</v>
      </c>
    </row>
    <row r="10" spans="1:19" s="60" customFormat="1" ht="98.25" customHeight="1" x14ac:dyDescent="0.3">
      <c r="A10" s="151" t="s">
        <v>214</v>
      </c>
      <c r="B10" s="151" t="s">
        <v>211</v>
      </c>
      <c r="C10" s="151" t="s">
        <v>170</v>
      </c>
      <c r="D10" s="151" t="s">
        <v>230</v>
      </c>
      <c r="E10" s="151"/>
      <c r="F10" s="151"/>
      <c r="G10" s="151" t="s">
        <v>170</v>
      </c>
      <c r="H10" s="109" t="s">
        <v>170</v>
      </c>
      <c r="I10" s="109" t="s">
        <v>170</v>
      </c>
      <c r="J10" s="151" t="s">
        <v>170</v>
      </c>
      <c r="K10" s="151" t="s">
        <v>170</v>
      </c>
      <c r="L10" s="151" t="s">
        <v>224</v>
      </c>
      <c r="M10" s="151" t="s">
        <v>244</v>
      </c>
      <c r="N10" s="154">
        <v>9.17</v>
      </c>
      <c r="O10" s="94">
        <v>9.1</v>
      </c>
      <c r="P10" s="69">
        <v>9.31</v>
      </c>
      <c r="Q10" s="69">
        <v>9.41</v>
      </c>
      <c r="S10" s="60">
        <v>9.6</v>
      </c>
    </row>
    <row r="11" spans="1:19" s="61" customFormat="1" ht="51" customHeight="1" x14ac:dyDescent="0.3">
      <c r="A11" s="242" t="s">
        <v>173</v>
      </c>
      <c r="B11" s="242"/>
      <c r="C11" s="242"/>
      <c r="D11" s="242"/>
      <c r="E11" s="242"/>
      <c r="F11" s="242"/>
      <c r="G11" s="242"/>
      <c r="H11" s="242"/>
      <c r="I11" s="242"/>
      <c r="J11" s="242"/>
      <c r="K11" s="242"/>
      <c r="L11" s="242"/>
      <c r="M11" s="242"/>
      <c r="N11" s="237"/>
      <c r="O11" s="237"/>
      <c r="P11" s="237"/>
      <c r="Q11" s="237"/>
    </row>
    <row r="12" spans="1:19" s="61" customFormat="1" ht="51" customHeight="1" x14ac:dyDescent="0.3">
      <c r="A12" s="151" t="s">
        <v>231</v>
      </c>
      <c r="B12" s="151" t="s">
        <v>191</v>
      </c>
      <c r="C12" s="62" t="s">
        <v>170</v>
      </c>
      <c r="D12" s="151" t="s">
        <v>27</v>
      </c>
      <c r="E12" s="151" t="s">
        <v>138</v>
      </c>
      <c r="F12" s="102">
        <v>6400</v>
      </c>
      <c r="G12" s="102">
        <v>6450</v>
      </c>
      <c r="H12" s="103">
        <v>7673</v>
      </c>
      <c r="I12" s="103">
        <v>5675</v>
      </c>
      <c r="J12" s="102">
        <v>5220</v>
      </c>
      <c r="K12" s="102">
        <v>5259</v>
      </c>
      <c r="L12" s="102">
        <v>7800</v>
      </c>
      <c r="M12" s="102">
        <v>1746</v>
      </c>
      <c r="N12" s="155">
        <v>2424</v>
      </c>
      <c r="O12" s="112">
        <v>3117</v>
      </c>
      <c r="P12" s="101">
        <v>2200</v>
      </c>
      <c r="Q12" s="101">
        <v>2400</v>
      </c>
      <c r="S12" s="107">
        <f>G12+H12+I12+J12+K12+L12+M12+N12+O12+P12+Q12</f>
        <v>49964</v>
      </c>
    </row>
    <row r="13" spans="1:19" s="61" customFormat="1" ht="49.5" customHeight="1" x14ac:dyDescent="0.3">
      <c r="A13" s="151" t="s">
        <v>232</v>
      </c>
      <c r="B13" s="151" t="s">
        <v>192</v>
      </c>
      <c r="C13" s="62" t="s">
        <v>170</v>
      </c>
      <c r="D13" s="151" t="s">
        <v>27</v>
      </c>
      <c r="E13" s="151" t="s">
        <v>129</v>
      </c>
      <c r="F13" s="102">
        <v>24500</v>
      </c>
      <c r="G13" s="99">
        <v>25000</v>
      </c>
      <c r="H13" s="100">
        <v>34954</v>
      </c>
      <c r="I13" s="100">
        <v>30049</v>
      </c>
      <c r="J13" s="99">
        <v>23153</v>
      </c>
      <c r="K13" s="99">
        <v>26526</v>
      </c>
      <c r="L13" s="99">
        <v>34821</v>
      </c>
      <c r="M13" s="99">
        <v>20115</v>
      </c>
      <c r="N13" s="155">
        <v>35777</v>
      </c>
      <c r="O13" s="101">
        <v>15051</v>
      </c>
      <c r="P13" s="101">
        <v>20600</v>
      </c>
      <c r="Q13" s="101">
        <v>20800</v>
      </c>
      <c r="S13" s="108">
        <f>G13+H13+I13+J13+K13+L13+M13+N13+O13+P13+Q13</f>
        <v>286846</v>
      </c>
    </row>
    <row r="14" spans="1:19" s="61" customFormat="1" ht="49.5" customHeight="1" x14ac:dyDescent="0.3">
      <c r="A14" s="151" t="s">
        <v>233</v>
      </c>
      <c r="B14" s="151" t="s">
        <v>193</v>
      </c>
      <c r="C14" s="62" t="s">
        <v>170</v>
      </c>
      <c r="D14" s="151" t="s">
        <v>134</v>
      </c>
      <c r="E14" s="151" t="s">
        <v>170</v>
      </c>
      <c r="F14" s="93" t="s">
        <v>135</v>
      </c>
      <c r="G14" s="104">
        <v>80.5</v>
      </c>
      <c r="H14" s="105">
        <v>86.6</v>
      </c>
      <c r="I14" s="105" t="s">
        <v>164</v>
      </c>
      <c r="J14" s="104" t="s">
        <v>199</v>
      </c>
      <c r="K14" s="104" t="s">
        <v>205</v>
      </c>
      <c r="L14" s="104">
        <v>84.5</v>
      </c>
      <c r="M14" s="104">
        <v>89.5</v>
      </c>
      <c r="N14" s="154">
        <v>84</v>
      </c>
      <c r="O14" s="106">
        <v>85.4</v>
      </c>
      <c r="P14" s="106">
        <v>85.6</v>
      </c>
      <c r="Q14" s="106">
        <v>86</v>
      </c>
      <c r="S14" s="98"/>
    </row>
    <row r="15" spans="1:19" s="56" customFormat="1" ht="51" customHeight="1" x14ac:dyDescent="0.3">
      <c r="A15" s="151" t="s">
        <v>234</v>
      </c>
      <c r="B15" s="151" t="s">
        <v>194</v>
      </c>
      <c r="C15" s="62" t="s">
        <v>170</v>
      </c>
      <c r="D15" s="151" t="s">
        <v>171</v>
      </c>
      <c r="E15" s="151" t="s">
        <v>139</v>
      </c>
      <c r="F15" s="93" t="s">
        <v>36</v>
      </c>
      <c r="G15" s="93" t="s">
        <v>150</v>
      </c>
      <c r="H15" s="74" t="s">
        <v>156</v>
      </c>
      <c r="I15" s="74" t="s">
        <v>163</v>
      </c>
      <c r="J15" s="93" t="s">
        <v>187</v>
      </c>
      <c r="K15" s="93" t="s">
        <v>187</v>
      </c>
      <c r="L15" s="93" t="s">
        <v>223</v>
      </c>
      <c r="M15" s="93">
        <v>5.2</v>
      </c>
      <c r="N15" s="154">
        <v>7.1</v>
      </c>
      <c r="O15" s="106">
        <v>7.5</v>
      </c>
      <c r="P15" s="94">
        <v>4.95</v>
      </c>
      <c r="Q15" s="94">
        <v>5</v>
      </c>
    </row>
    <row r="16" spans="1:19" s="56" customFormat="1" ht="124.5" customHeight="1" x14ac:dyDescent="0.3">
      <c r="A16" s="151" t="s">
        <v>235</v>
      </c>
      <c r="B16" s="62" t="s">
        <v>195</v>
      </c>
      <c r="C16" s="62" t="s">
        <v>170</v>
      </c>
      <c r="D16" s="151" t="s">
        <v>27</v>
      </c>
      <c r="E16" s="151" t="s">
        <v>131</v>
      </c>
      <c r="F16" s="151" t="s">
        <v>37</v>
      </c>
      <c r="G16" s="151" t="s">
        <v>149</v>
      </c>
      <c r="H16" s="109" t="s">
        <v>157</v>
      </c>
      <c r="I16" s="109" t="s">
        <v>184</v>
      </c>
      <c r="J16" s="151" t="s">
        <v>200</v>
      </c>
      <c r="K16" s="151" t="s">
        <v>206</v>
      </c>
      <c r="L16" s="151" t="s">
        <v>218</v>
      </c>
      <c r="M16" s="151" t="s">
        <v>245</v>
      </c>
      <c r="N16" s="154">
        <v>219</v>
      </c>
      <c r="O16" s="68">
        <v>225</v>
      </c>
      <c r="P16" s="69">
        <v>239</v>
      </c>
      <c r="Q16" s="69">
        <v>249</v>
      </c>
    </row>
    <row r="17" spans="1:17" s="56" customFormat="1" ht="85.5" customHeight="1" x14ac:dyDescent="0.3">
      <c r="A17" s="151" t="s">
        <v>236</v>
      </c>
      <c r="B17" s="62" t="s">
        <v>216</v>
      </c>
      <c r="C17" s="62" t="s">
        <v>170</v>
      </c>
      <c r="D17" s="151" t="s">
        <v>134</v>
      </c>
      <c r="E17" s="151" t="s">
        <v>170</v>
      </c>
      <c r="F17" s="151" t="s">
        <v>170</v>
      </c>
      <c r="G17" s="151" t="s">
        <v>170</v>
      </c>
      <c r="H17" s="109" t="s">
        <v>170</v>
      </c>
      <c r="I17" s="109" t="s">
        <v>170</v>
      </c>
      <c r="J17" s="151" t="s">
        <v>170</v>
      </c>
      <c r="K17" s="151" t="s">
        <v>170</v>
      </c>
      <c r="L17" s="151" t="s">
        <v>222</v>
      </c>
      <c r="M17" s="151" t="s">
        <v>308</v>
      </c>
      <c r="N17" s="154">
        <v>49.8</v>
      </c>
      <c r="O17" s="69">
        <v>49.8</v>
      </c>
      <c r="P17" s="69">
        <v>51</v>
      </c>
      <c r="Q17" s="69">
        <v>52</v>
      </c>
    </row>
    <row r="18" spans="1:17" s="56" customFormat="1" ht="63.75" customHeight="1" x14ac:dyDescent="0.3">
      <c r="A18" s="151" t="s">
        <v>237</v>
      </c>
      <c r="B18" s="62" t="s">
        <v>217</v>
      </c>
      <c r="C18" s="62" t="s">
        <v>170</v>
      </c>
      <c r="D18" s="151" t="s">
        <v>210</v>
      </c>
      <c r="E18" s="151" t="s">
        <v>170</v>
      </c>
      <c r="F18" s="151" t="s">
        <v>170</v>
      </c>
      <c r="G18" s="151" t="s">
        <v>170</v>
      </c>
      <c r="H18" s="109" t="s">
        <v>170</v>
      </c>
      <c r="I18" s="109" t="s">
        <v>170</v>
      </c>
      <c r="J18" s="151" t="s">
        <v>170</v>
      </c>
      <c r="K18" s="151" t="s">
        <v>170</v>
      </c>
      <c r="L18" s="151" t="s">
        <v>215</v>
      </c>
      <c r="M18" s="151" t="s">
        <v>215</v>
      </c>
      <c r="N18" s="69">
        <v>30</v>
      </c>
      <c r="O18" s="68">
        <v>30</v>
      </c>
      <c r="P18" s="69">
        <v>30</v>
      </c>
      <c r="Q18" s="69">
        <v>30</v>
      </c>
    </row>
    <row r="19" spans="1:17" s="56" customFormat="1" ht="32.25" customHeight="1" x14ac:dyDescent="0.3">
      <c r="A19" s="242" t="s">
        <v>241</v>
      </c>
      <c r="B19" s="242"/>
      <c r="C19" s="242"/>
      <c r="D19" s="242"/>
      <c r="E19" s="242"/>
      <c r="F19" s="242"/>
      <c r="G19" s="242"/>
      <c r="H19" s="242"/>
      <c r="I19" s="242"/>
      <c r="J19" s="242"/>
      <c r="K19" s="242"/>
      <c r="L19" s="242"/>
      <c r="M19" s="242"/>
      <c r="N19" s="237"/>
      <c r="O19" s="237"/>
      <c r="P19" s="237"/>
      <c r="Q19" s="237"/>
    </row>
    <row r="20" spans="1:17" s="61" customFormat="1" ht="120.75" customHeight="1" x14ac:dyDescent="0.3">
      <c r="A20" s="151" t="s">
        <v>238</v>
      </c>
      <c r="B20" s="151" t="s">
        <v>212</v>
      </c>
      <c r="C20" s="62" t="s">
        <v>170</v>
      </c>
      <c r="D20" s="151" t="s">
        <v>171</v>
      </c>
      <c r="E20" s="68">
        <v>397</v>
      </c>
      <c r="F20" s="151" t="s">
        <v>136</v>
      </c>
      <c r="G20" s="151" t="s">
        <v>137</v>
      </c>
      <c r="H20" s="109" t="s">
        <v>158</v>
      </c>
      <c r="I20" s="109" t="s">
        <v>185</v>
      </c>
      <c r="J20" s="151" t="s">
        <v>188</v>
      </c>
      <c r="K20" s="151" t="s">
        <v>207</v>
      </c>
      <c r="L20" s="151" t="s">
        <v>221</v>
      </c>
      <c r="M20" s="151" t="s">
        <v>263</v>
      </c>
      <c r="N20" s="156">
        <v>3949</v>
      </c>
      <c r="O20" s="69">
        <v>4125</v>
      </c>
      <c r="P20" s="69">
        <v>4500</v>
      </c>
      <c r="Q20" s="69">
        <v>4850</v>
      </c>
    </row>
    <row r="21" spans="1:17" s="61" customFormat="1" ht="157.5" customHeight="1" x14ac:dyDescent="0.3">
      <c r="A21" s="180" t="s">
        <v>338</v>
      </c>
      <c r="B21" s="180" t="s">
        <v>339</v>
      </c>
      <c r="C21" s="62"/>
      <c r="D21" s="180" t="s">
        <v>27</v>
      </c>
      <c r="E21" s="68"/>
      <c r="F21" s="180" t="s">
        <v>170</v>
      </c>
      <c r="G21" s="180" t="s">
        <v>170</v>
      </c>
      <c r="H21" s="109" t="s">
        <v>170</v>
      </c>
      <c r="I21" s="109" t="s">
        <v>170</v>
      </c>
      <c r="J21" s="180" t="s">
        <v>170</v>
      </c>
      <c r="K21" s="180" t="s">
        <v>170</v>
      </c>
      <c r="L21" s="180" t="s">
        <v>170</v>
      </c>
      <c r="M21" s="180" t="s">
        <v>170</v>
      </c>
      <c r="N21" s="156" t="s">
        <v>170</v>
      </c>
      <c r="O21" s="69" t="s">
        <v>170</v>
      </c>
      <c r="P21" s="69">
        <v>1</v>
      </c>
      <c r="Q21" s="69">
        <v>1</v>
      </c>
    </row>
    <row r="22" spans="1:17" s="61" customFormat="1" ht="33.75" customHeight="1" x14ac:dyDescent="0.3">
      <c r="A22" s="235" t="s">
        <v>174</v>
      </c>
      <c r="B22" s="236"/>
      <c r="C22" s="236"/>
      <c r="D22" s="236"/>
      <c r="E22" s="236"/>
      <c r="F22" s="236"/>
      <c r="G22" s="236"/>
      <c r="H22" s="236"/>
      <c r="I22" s="236"/>
      <c r="J22" s="236"/>
      <c r="K22" s="236"/>
      <c r="L22" s="236"/>
      <c r="M22" s="236"/>
      <c r="N22" s="237"/>
      <c r="O22" s="237"/>
      <c r="P22" s="237"/>
      <c r="Q22" s="237"/>
    </row>
    <row r="23" spans="1:17" s="56" customFormat="1" ht="81" customHeight="1" x14ac:dyDescent="0.3">
      <c r="A23" s="151" t="s">
        <v>239</v>
      </c>
      <c r="B23" s="151" t="s">
        <v>196</v>
      </c>
      <c r="C23" s="62" t="s">
        <v>170</v>
      </c>
      <c r="D23" s="151" t="s">
        <v>28</v>
      </c>
      <c r="E23" s="151" t="s">
        <v>132</v>
      </c>
      <c r="F23" s="151" t="s">
        <v>34</v>
      </c>
      <c r="G23" s="151" t="s">
        <v>35</v>
      </c>
      <c r="H23" s="109" t="s">
        <v>159</v>
      </c>
      <c r="I23" s="151" t="s">
        <v>189</v>
      </c>
      <c r="J23" s="151" t="s">
        <v>197</v>
      </c>
      <c r="K23" s="151" t="s">
        <v>165</v>
      </c>
      <c r="L23" s="151" t="s">
        <v>220</v>
      </c>
      <c r="M23" s="151" t="s">
        <v>246</v>
      </c>
      <c r="N23" s="156">
        <v>22200</v>
      </c>
      <c r="O23" s="69">
        <v>25000</v>
      </c>
      <c r="P23" s="69">
        <v>23500</v>
      </c>
      <c r="Q23" s="69">
        <v>24000</v>
      </c>
    </row>
    <row r="24" spans="1:17" s="63" customFormat="1" ht="27" customHeight="1" x14ac:dyDescent="0.3">
      <c r="A24" s="238" t="s">
        <v>175</v>
      </c>
      <c r="B24" s="239"/>
      <c r="C24" s="239"/>
      <c r="D24" s="239"/>
      <c r="E24" s="239"/>
      <c r="F24" s="239"/>
      <c r="G24" s="239"/>
      <c r="H24" s="239"/>
      <c r="I24" s="239"/>
      <c r="J24" s="239"/>
      <c r="K24" s="239"/>
      <c r="L24" s="239"/>
      <c r="M24" s="239"/>
      <c r="N24" s="240"/>
      <c r="O24" s="240"/>
      <c r="P24" s="240"/>
      <c r="Q24" s="240"/>
    </row>
    <row r="25" spans="1:17" s="57" customFormat="1" ht="52.5" customHeight="1" x14ac:dyDescent="0.3">
      <c r="A25" s="109" t="s">
        <v>240</v>
      </c>
      <c r="B25" s="47" t="s">
        <v>226</v>
      </c>
      <c r="C25" s="109" t="s">
        <v>170</v>
      </c>
      <c r="D25" s="109" t="s">
        <v>27</v>
      </c>
      <c r="E25" s="109" t="s">
        <v>170</v>
      </c>
      <c r="F25" s="109" t="s">
        <v>170</v>
      </c>
      <c r="G25" s="109" t="s">
        <v>170</v>
      </c>
      <c r="H25" s="109" t="s">
        <v>170</v>
      </c>
      <c r="I25" s="109" t="s">
        <v>186</v>
      </c>
      <c r="J25" s="151" t="s">
        <v>190</v>
      </c>
      <c r="K25" s="151" t="s">
        <v>208</v>
      </c>
      <c r="L25" s="151" t="s">
        <v>219</v>
      </c>
      <c r="M25" s="109" t="s">
        <v>247</v>
      </c>
      <c r="N25" s="153">
        <v>1169</v>
      </c>
      <c r="O25" s="70">
        <v>1482</v>
      </c>
      <c r="P25" s="69">
        <v>1300</v>
      </c>
      <c r="Q25" s="69">
        <v>954</v>
      </c>
    </row>
    <row r="26" spans="1:17" s="43" customFormat="1" ht="0.75" hidden="1" customHeight="1" x14ac:dyDescent="0.3">
      <c r="A26" s="46"/>
      <c r="B26" s="48"/>
      <c r="C26" s="49"/>
      <c r="D26" s="49"/>
      <c r="E26" s="49"/>
      <c r="F26" s="49"/>
      <c r="G26" s="49"/>
      <c r="H26" s="49"/>
      <c r="I26" s="49"/>
      <c r="J26" s="49"/>
      <c r="K26" s="66"/>
      <c r="L26" s="84"/>
      <c r="M26" s="84"/>
      <c r="N26" s="61"/>
      <c r="P26" s="64"/>
      <c r="Q26" s="64"/>
    </row>
    <row r="27" spans="1:17" s="45" customFormat="1" ht="13.5" hidden="1" customHeight="1" x14ac:dyDescent="0.35">
      <c r="A27" s="46"/>
      <c r="B27" s="231"/>
      <c r="C27" s="232"/>
      <c r="D27" s="232"/>
      <c r="E27" s="232"/>
      <c r="F27" s="232"/>
      <c r="G27" s="232"/>
      <c r="H27" s="232"/>
      <c r="I27" s="232"/>
      <c r="J27" s="232"/>
      <c r="K27" s="232"/>
      <c r="L27" s="84"/>
      <c r="M27" s="84"/>
      <c r="N27" s="61"/>
      <c r="P27" s="210"/>
      <c r="Q27" s="210"/>
    </row>
    <row r="28" spans="1:17" s="45" customFormat="1" ht="20.25" hidden="1" customHeight="1" x14ac:dyDescent="0.35">
      <c r="A28" s="46"/>
      <c r="B28" s="72"/>
      <c r="C28" s="73"/>
      <c r="D28" s="73"/>
      <c r="E28" s="73"/>
      <c r="F28" s="73"/>
      <c r="G28" s="73"/>
      <c r="H28" s="73"/>
      <c r="I28" s="73"/>
      <c r="J28" s="73"/>
      <c r="K28" s="67"/>
      <c r="L28" s="84"/>
      <c r="M28" s="84"/>
      <c r="N28" s="61"/>
      <c r="P28" s="210"/>
      <c r="Q28" s="210"/>
    </row>
    <row r="29" spans="1:17" s="58" customFormat="1" ht="11.25" customHeight="1" x14ac:dyDescent="0.4">
      <c r="A29" s="228" t="s">
        <v>335</v>
      </c>
      <c r="B29" s="228"/>
      <c r="C29" s="228"/>
      <c r="D29" s="228"/>
      <c r="E29" s="71"/>
      <c r="H29" s="59"/>
      <c r="I29" s="229" t="s">
        <v>334</v>
      </c>
      <c r="J29" s="229"/>
      <c r="K29" s="229"/>
      <c r="L29" s="229"/>
      <c r="M29" s="229"/>
      <c r="N29" s="61"/>
      <c r="P29" s="111"/>
      <c r="Q29" s="111"/>
    </row>
    <row r="30" spans="1:17" s="58" customFormat="1" ht="65.25" customHeight="1" x14ac:dyDescent="0.4">
      <c r="A30" s="228"/>
      <c r="B30" s="228"/>
      <c r="C30" s="228"/>
      <c r="D30" s="228"/>
      <c r="E30" s="71"/>
      <c r="H30" s="59"/>
      <c r="I30" s="229"/>
      <c r="J30" s="229"/>
      <c r="K30" s="229"/>
      <c r="L30" s="229"/>
      <c r="M30" s="229"/>
      <c r="N30" s="61"/>
      <c r="P30" s="111"/>
      <c r="Q30" s="111"/>
    </row>
  </sheetData>
  <mergeCells count="18">
    <mergeCell ref="A11:Q11"/>
    <mergeCell ref="A19:Q19"/>
    <mergeCell ref="N2:Q3"/>
    <mergeCell ref="I2:M3"/>
    <mergeCell ref="A4:Q4"/>
    <mergeCell ref="A29:D30"/>
    <mergeCell ref="I29:M30"/>
    <mergeCell ref="A6:A7"/>
    <mergeCell ref="B6:B7"/>
    <mergeCell ref="D6:D7"/>
    <mergeCell ref="C6:C7"/>
    <mergeCell ref="B27:K27"/>
    <mergeCell ref="E6:E7"/>
    <mergeCell ref="A22:Q22"/>
    <mergeCell ref="A24:Q24"/>
    <mergeCell ref="F6:F7"/>
    <mergeCell ref="G6:Q6"/>
    <mergeCell ref="A8:Q8"/>
  </mergeCells>
  <printOptions horizontalCentered="1"/>
  <pageMargins left="0.39370078740157483" right="0.39370078740157483" top="1.3779527559055118" bottom="0.39370078740157483" header="0.27559055118110237" footer="0.27559055118110237"/>
  <pageSetup paperSize="9" scale="50" firstPageNumber="163" fitToHeight="0" orientation="landscape" r:id="rId1"/>
  <headerFooter differentFirst="1" scaleWithDoc="0">
    <oddHeader>&amp;C&amp;P</oddHeader>
  </headerFooter>
  <rowBreaks count="1" manualBreakCount="1">
    <brk id="15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M31"/>
  <sheetViews>
    <sheetView view="pageBreakPreview" zoomScale="60" zoomScaleNormal="84" workbookViewId="0">
      <selection activeCell="Y22" sqref="Y22"/>
    </sheetView>
  </sheetViews>
  <sheetFormatPr defaultColWidth="9.140625" defaultRowHeight="15.75" x14ac:dyDescent="0.25"/>
  <cols>
    <col min="1" max="1" width="11.140625" style="1" customWidth="1"/>
    <col min="2" max="2" width="85.140625" style="1" customWidth="1"/>
    <col min="3" max="3" width="20.85546875" style="1" hidden="1" customWidth="1"/>
    <col min="4" max="4" width="17.28515625" style="1" customWidth="1"/>
    <col min="5" max="5" width="17.28515625" style="1" hidden="1" customWidth="1"/>
    <col min="6" max="6" width="17.28515625" style="64" customWidth="1"/>
    <col min="7" max="8" width="17.28515625" style="43" customWidth="1"/>
    <col min="9" max="9" width="17.28515625" style="1" customWidth="1"/>
    <col min="10" max="11" width="17.28515625" style="64" customWidth="1"/>
    <col min="12" max="12" width="9.140625" style="1"/>
    <col min="13" max="13" width="17.140625" style="1" customWidth="1"/>
    <col min="14" max="16384" width="9.140625" style="1"/>
  </cols>
  <sheetData>
    <row r="2" spans="1:13" s="44" customFormat="1" ht="15.75" customHeight="1" x14ac:dyDescent="0.3">
      <c r="A2" s="50"/>
      <c r="F2" s="209"/>
      <c r="G2" s="52"/>
      <c r="H2" s="224" t="s">
        <v>267</v>
      </c>
      <c r="I2" s="225"/>
      <c r="J2" s="225"/>
      <c r="K2" s="225"/>
    </row>
    <row r="3" spans="1:13" s="44" customFormat="1" ht="97.5" customHeight="1" x14ac:dyDescent="0.3">
      <c r="A3" s="50"/>
      <c r="F3" s="209"/>
      <c r="G3" s="52"/>
      <c r="H3" s="225"/>
      <c r="I3" s="225"/>
      <c r="J3" s="225"/>
      <c r="K3" s="225"/>
    </row>
    <row r="4" spans="1:13" s="44" customFormat="1" ht="71.25" customHeight="1" x14ac:dyDescent="0.3">
      <c r="A4" s="226" t="s">
        <v>283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</row>
    <row r="5" spans="1:13" ht="15.75" hidden="1" customHeight="1" x14ac:dyDescent="0.25">
      <c r="A5" s="53"/>
      <c r="B5" s="43"/>
      <c r="C5" s="43"/>
      <c r="D5" s="54"/>
      <c r="E5" s="54"/>
      <c r="F5" s="65"/>
      <c r="G5" s="55"/>
      <c r="H5" s="55"/>
      <c r="I5" s="55"/>
      <c r="J5" s="65"/>
      <c r="K5" s="65"/>
    </row>
    <row r="6" spans="1:13" s="56" customFormat="1" ht="48.75" customHeight="1" x14ac:dyDescent="0.3">
      <c r="A6" s="230" t="s">
        <v>1</v>
      </c>
      <c r="B6" s="230" t="s">
        <v>3</v>
      </c>
      <c r="C6" s="230" t="s">
        <v>33</v>
      </c>
      <c r="D6" s="230" t="s">
        <v>4</v>
      </c>
      <c r="E6" s="233" t="s">
        <v>127</v>
      </c>
      <c r="F6" s="243" t="s">
        <v>16</v>
      </c>
      <c r="G6" s="244"/>
      <c r="H6" s="244"/>
      <c r="I6" s="244"/>
      <c r="J6" s="244"/>
      <c r="K6" s="245"/>
    </row>
    <row r="7" spans="1:13" s="56" customFormat="1" ht="48" customHeight="1" x14ac:dyDescent="0.3">
      <c r="A7" s="230"/>
      <c r="B7" s="230"/>
      <c r="C7" s="230"/>
      <c r="D7" s="230"/>
      <c r="E7" s="234"/>
      <c r="F7" s="206">
        <v>2025</v>
      </c>
      <c r="G7" s="159">
        <v>2026</v>
      </c>
      <c r="H7" s="159">
        <v>2027</v>
      </c>
      <c r="I7" s="164">
        <v>2028</v>
      </c>
      <c r="J7" s="164">
        <v>2029</v>
      </c>
      <c r="K7" s="164">
        <v>2030</v>
      </c>
    </row>
    <row r="8" spans="1:13" s="56" customFormat="1" ht="36" customHeight="1" x14ac:dyDescent="0.3">
      <c r="A8" s="241" t="s">
        <v>172</v>
      </c>
      <c r="B8" s="241"/>
      <c r="C8" s="241"/>
      <c r="D8" s="241"/>
      <c r="E8" s="241"/>
      <c r="F8" s="241"/>
      <c r="G8" s="241"/>
      <c r="H8" s="241"/>
      <c r="I8" s="241"/>
      <c r="J8" s="241"/>
      <c r="K8" s="241"/>
    </row>
    <row r="9" spans="1:13" s="60" customFormat="1" ht="98.25" hidden="1" customHeight="1" x14ac:dyDescent="0.3">
      <c r="A9" s="163"/>
      <c r="B9" s="163"/>
      <c r="C9" s="163"/>
      <c r="D9" s="163"/>
      <c r="E9" s="163"/>
      <c r="F9" s="205"/>
      <c r="G9" s="109"/>
      <c r="H9" s="109"/>
      <c r="I9" s="163"/>
      <c r="J9" s="163"/>
      <c r="K9" s="163"/>
    </row>
    <row r="10" spans="1:13" s="60" customFormat="1" ht="79.5" customHeight="1" x14ac:dyDescent="0.3">
      <c r="A10" s="173" t="s">
        <v>2</v>
      </c>
      <c r="B10" s="173" t="s">
        <v>201</v>
      </c>
      <c r="C10" s="173"/>
      <c r="D10" s="173" t="s">
        <v>171</v>
      </c>
      <c r="E10" s="173"/>
      <c r="F10" s="205" t="s">
        <v>290</v>
      </c>
      <c r="G10" s="109" t="s">
        <v>291</v>
      </c>
      <c r="H10" s="109" t="s">
        <v>292</v>
      </c>
      <c r="I10" s="173" t="s">
        <v>293</v>
      </c>
      <c r="J10" s="173" t="s">
        <v>294</v>
      </c>
      <c r="K10" s="173" t="s">
        <v>295</v>
      </c>
    </row>
    <row r="11" spans="1:13" s="60" customFormat="1" ht="49.5" customHeight="1" x14ac:dyDescent="0.3">
      <c r="A11" s="163" t="s">
        <v>214</v>
      </c>
      <c r="B11" s="163" t="s">
        <v>211</v>
      </c>
      <c r="C11" s="163" t="s">
        <v>170</v>
      </c>
      <c r="D11" s="163" t="s">
        <v>230</v>
      </c>
      <c r="E11" s="163"/>
      <c r="F11" s="205" t="s">
        <v>296</v>
      </c>
      <c r="G11" s="109" t="s">
        <v>297</v>
      </c>
      <c r="H11" s="109" t="s">
        <v>298</v>
      </c>
      <c r="I11" s="163" t="s">
        <v>299</v>
      </c>
      <c r="J11" s="163" t="s">
        <v>300</v>
      </c>
      <c r="K11" s="163" t="s">
        <v>301</v>
      </c>
      <c r="M11" s="60">
        <v>9.6</v>
      </c>
    </row>
    <row r="12" spans="1:13" s="61" customFormat="1" ht="51" customHeight="1" x14ac:dyDescent="0.3">
      <c r="A12" s="242" t="s">
        <v>173</v>
      </c>
      <c r="B12" s="242"/>
      <c r="C12" s="242"/>
      <c r="D12" s="242"/>
      <c r="E12" s="242"/>
      <c r="F12" s="242"/>
      <c r="G12" s="242"/>
      <c r="H12" s="242"/>
      <c r="I12" s="242"/>
      <c r="J12" s="242"/>
      <c r="K12" s="242"/>
    </row>
    <row r="13" spans="1:13" s="61" customFormat="1" ht="41.25" customHeight="1" x14ac:dyDescent="0.3">
      <c r="A13" s="163" t="s">
        <v>231</v>
      </c>
      <c r="B13" s="163" t="s">
        <v>191</v>
      </c>
      <c r="C13" s="62" t="s">
        <v>170</v>
      </c>
      <c r="D13" s="163" t="s">
        <v>27</v>
      </c>
      <c r="E13" s="163" t="s">
        <v>138</v>
      </c>
      <c r="F13" s="102">
        <v>2600</v>
      </c>
      <c r="G13" s="103">
        <v>2800</v>
      </c>
      <c r="H13" s="103">
        <v>3000</v>
      </c>
      <c r="I13" s="102">
        <v>3200</v>
      </c>
      <c r="J13" s="102">
        <v>3400</v>
      </c>
      <c r="K13" s="102">
        <v>3600</v>
      </c>
      <c r="M13" s="107" t="e">
        <f>F13+G13+H13+I13+J13+K13+#REF!+#REF!+#REF!+#REF!+#REF!</f>
        <v>#REF!</v>
      </c>
    </row>
    <row r="14" spans="1:13" s="61" customFormat="1" ht="36.75" customHeight="1" x14ac:dyDescent="0.3">
      <c r="A14" s="163" t="s">
        <v>232</v>
      </c>
      <c r="B14" s="163" t="s">
        <v>192</v>
      </c>
      <c r="C14" s="62" t="s">
        <v>170</v>
      </c>
      <c r="D14" s="163" t="s">
        <v>27</v>
      </c>
      <c r="E14" s="163" t="s">
        <v>129</v>
      </c>
      <c r="F14" s="99">
        <v>21000</v>
      </c>
      <c r="G14" s="100">
        <v>21200</v>
      </c>
      <c r="H14" s="100">
        <v>21400</v>
      </c>
      <c r="I14" s="99">
        <v>21600</v>
      </c>
      <c r="J14" s="99">
        <v>21800</v>
      </c>
      <c r="K14" s="99">
        <v>22000</v>
      </c>
      <c r="M14" s="108" t="e">
        <f>F14+G14+H14+I14+J14+K14+#REF!+#REF!+#REF!+#REF!+#REF!</f>
        <v>#REF!</v>
      </c>
    </row>
    <row r="15" spans="1:13" s="61" customFormat="1" ht="38.25" customHeight="1" x14ac:dyDescent="0.3">
      <c r="A15" s="163" t="s">
        <v>233</v>
      </c>
      <c r="B15" s="163" t="s">
        <v>193</v>
      </c>
      <c r="C15" s="62" t="s">
        <v>170</v>
      </c>
      <c r="D15" s="163" t="s">
        <v>134</v>
      </c>
      <c r="E15" s="163" t="s">
        <v>170</v>
      </c>
      <c r="F15" s="104">
        <v>86</v>
      </c>
      <c r="G15" s="105">
        <v>86</v>
      </c>
      <c r="H15" s="105">
        <v>86</v>
      </c>
      <c r="I15" s="104">
        <v>86</v>
      </c>
      <c r="J15" s="104">
        <v>86</v>
      </c>
      <c r="K15" s="104">
        <v>86</v>
      </c>
      <c r="M15" s="98"/>
    </row>
    <row r="16" spans="1:13" s="56" customFormat="1" ht="37.5" customHeight="1" x14ac:dyDescent="0.3">
      <c r="A16" s="163" t="s">
        <v>234</v>
      </c>
      <c r="B16" s="163" t="s">
        <v>194</v>
      </c>
      <c r="C16" s="62" t="s">
        <v>170</v>
      </c>
      <c r="D16" s="163" t="s">
        <v>171</v>
      </c>
      <c r="E16" s="163" t="s">
        <v>139</v>
      </c>
      <c r="F16" s="93">
        <v>5.05</v>
      </c>
      <c r="G16" s="74">
        <v>5.0999999999999996</v>
      </c>
      <c r="H16" s="74">
        <v>5.15</v>
      </c>
      <c r="I16" s="93">
        <v>5.2</v>
      </c>
      <c r="J16" s="93">
        <v>5.25</v>
      </c>
      <c r="K16" s="93">
        <v>5.3</v>
      </c>
    </row>
    <row r="17" spans="1:13" s="56" customFormat="1" ht="81.75" customHeight="1" x14ac:dyDescent="0.3">
      <c r="A17" s="163" t="s">
        <v>235</v>
      </c>
      <c r="B17" s="62" t="s">
        <v>195</v>
      </c>
      <c r="C17" s="62" t="s">
        <v>170</v>
      </c>
      <c r="D17" s="163" t="s">
        <v>27</v>
      </c>
      <c r="E17" s="163" t="s">
        <v>131</v>
      </c>
      <c r="F17" s="205" t="s">
        <v>276</v>
      </c>
      <c r="G17" s="109" t="s">
        <v>277</v>
      </c>
      <c r="H17" s="109" t="s">
        <v>278</v>
      </c>
      <c r="I17" s="163" t="s">
        <v>279</v>
      </c>
      <c r="J17" s="163" t="s">
        <v>280</v>
      </c>
      <c r="K17" s="163" t="s">
        <v>281</v>
      </c>
    </row>
    <row r="18" spans="1:13" s="56" customFormat="1" ht="48" customHeight="1" x14ac:dyDescent="0.3">
      <c r="A18" s="163" t="s">
        <v>236</v>
      </c>
      <c r="B18" s="62" t="s">
        <v>216</v>
      </c>
      <c r="C18" s="62" t="s">
        <v>170</v>
      </c>
      <c r="D18" s="163" t="s">
        <v>134</v>
      </c>
      <c r="E18" s="163" t="s">
        <v>170</v>
      </c>
      <c r="F18" s="205" t="s">
        <v>285</v>
      </c>
      <c r="G18" s="109" t="s">
        <v>286</v>
      </c>
      <c r="H18" s="109" t="s">
        <v>287</v>
      </c>
      <c r="I18" s="163" t="s">
        <v>37</v>
      </c>
      <c r="J18" s="163" t="s">
        <v>288</v>
      </c>
      <c r="K18" s="163" t="s">
        <v>284</v>
      </c>
    </row>
    <row r="19" spans="1:13" s="56" customFormat="1" ht="47.25" customHeight="1" x14ac:dyDescent="0.3">
      <c r="A19" s="163" t="s">
        <v>237</v>
      </c>
      <c r="B19" s="62" t="s">
        <v>217</v>
      </c>
      <c r="C19" s="62" t="s">
        <v>170</v>
      </c>
      <c r="D19" s="163" t="s">
        <v>210</v>
      </c>
      <c r="E19" s="163" t="s">
        <v>170</v>
      </c>
      <c r="F19" s="205" t="s">
        <v>215</v>
      </c>
      <c r="G19" s="109" t="s">
        <v>215</v>
      </c>
      <c r="H19" s="109" t="s">
        <v>215</v>
      </c>
      <c r="I19" s="163" t="s">
        <v>215</v>
      </c>
      <c r="J19" s="163" t="s">
        <v>215</v>
      </c>
      <c r="K19" s="163" t="s">
        <v>215</v>
      </c>
    </row>
    <row r="20" spans="1:13" s="56" customFormat="1" ht="32.25" customHeight="1" x14ac:dyDescent="0.3">
      <c r="A20" s="242" t="s">
        <v>241</v>
      </c>
      <c r="B20" s="242"/>
      <c r="C20" s="242"/>
      <c r="D20" s="242"/>
      <c r="E20" s="242"/>
      <c r="F20" s="242"/>
      <c r="G20" s="242"/>
      <c r="H20" s="242"/>
      <c r="I20" s="242"/>
      <c r="J20" s="242"/>
      <c r="K20" s="242"/>
    </row>
    <row r="21" spans="1:13" s="61" customFormat="1" ht="87" customHeight="1" x14ac:dyDescent="0.3">
      <c r="A21" s="163" t="s">
        <v>238</v>
      </c>
      <c r="B21" s="163" t="s">
        <v>212</v>
      </c>
      <c r="C21" s="62" t="s">
        <v>170</v>
      </c>
      <c r="D21" s="163" t="s">
        <v>171</v>
      </c>
      <c r="E21" s="68">
        <v>397</v>
      </c>
      <c r="F21" s="205" t="s">
        <v>341</v>
      </c>
      <c r="G21" s="109" t="s">
        <v>342</v>
      </c>
      <c r="H21" s="109" t="s">
        <v>343</v>
      </c>
      <c r="I21" s="178" t="s">
        <v>344</v>
      </c>
      <c r="J21" s="178" t="s">
        <v>345</v>
      </c>
      <c r="K21" s="178" t="s">
        <v>346</v>
      </c>
    </row>
    <row r="22" spans="1:13" s="61" customFormat="1" ht="87" customHeight="1" x14ac:dyDescent="0.3">
      <c r="A22" s="180" t="s">
        <v>338</v>
      </c>
      <c r="B22" s="180" t="s">
        <v>339</v>
      </c>
      <c r="C22" s="62"/>
      <c r="D22" s="180" t="s">
        <v>27</v>
      </c>
      <c r="E22" s="68"/>
      <c r="F22" s="205" t="s">
        <v>2</v>
      </c>
      <c r="G22" s="109" t="s">
        <v>2</v>
      </c>
      <c r="H22" s="109" t="s">
        <v>2</v>
      </c>
      <c r="I22" s="180" t="s">
        <v>2</v>
      </c>
      <c r="J22" s="180" t="s">
        <v>2</v>
      </c>
      <c r="K22" s="180" t="s">
        <v>2</v>
      </c>
    </row>
    <row r="23" spans="1:13" s="61" customFormat="1" ht="33.75" customHeight="1" x14ac:dyDescent="0.3">
      <c r="A23" s="235" t="s">
        <v>174</v>
      </c>
      <c r="B23" s="236"/>
      <c r="C23" s="236"/>
      <c r="D23" s="236"/>
      <c r="E23" s="236"/>
      <c r="F23" s="236"/>
      <c r="G23" s="236"/>
      <c r="H23" s="236"/>
      <c r="I23" s="236"/>
      <c r="J23" s="236"/>
      <c r="K23" s="236"/>
    </row>
    <row r="24" spans="1:13" s="56" customFormat="1" ht="81" customHeight="1" x14ac:dyDescent="0.3">
      <c r="A24" s="163" t="s">
        <v>239</v>
      </c>
      <c r="B24" s="163" t="s">
        <v>196</v>
      </c>
      <c r="C24" s="62" t="s">
        <v>170</v>
      </c>
      <c r="D24" s="163" t="s">
        <v>28</v>
      </c>
      <c r="E24" s="163" t="s">
        <v>132</v>
      </c>
      <c r="F24" s="205" t="s">
        <v>302</v>
      </c>
      <c r="G24" s="109" t="s">
        <v>303</v>
      </c>
      <c r="H24" s="163" t="s">
        <v>304</v>
      </c>
      <c r="I24" s="163" t="s">
        <v>305</v>
      </c>
      <c r="J24" s="163" t="s">
        <v>306</v>
      </c>
      <c r="K24" s="163" t="s">
        <v>307</v>
      </c>
    </row>
    <row r="25" spans="1:13" s="63" customFormat="1" ht="27" customHeight="1" x14ac:dyDescent="0.3">
      <c r="A25" s="238" t="s">
        <v>175</v>
      </c>
      <c r="B25" s="239"/>
      <c r="C25" s="239"/>
      <c r="D25" s="239"/>
      <c r="E25" s="239"/>
      <c r="F25" s="239"/>
      <c r="G25" s="239"/>
      <c r="H25" s="239"/>
      <c r="I25" s="239"/>
      <c r="J25" s="239"/>
      <c r="K25" s="239"/>
    </row>
    <row r="26" spans="1:13" s="57" customFormat="1" ht="54.75" customHeight="1" x14ac:dyDescent="0.3">
      <c r="A26" s="109" t="s">
        <v>240</v>
      </c>
      <c r="B26" s="159" t="s">
        <v>226</v>
      </c>
      <c r="C26" s="109" t="s">
        <v>170</v>
      </c>
      <c r="D26" s="109" t="s">
        <v>27</v>
      </c>
      <c r="E26" s="109" t="s">
        <v>170</v>
      </c>
      <c r="F26" s="205" t="s">
        <v>282</v>
      </c>
      <c r="G26" s="109" t="s">
        <v>282</v>
      </c>
      <c r="H26" s="109" t="s">
        <v>282</v>
      </c>
      <c r="I26" s="163" t="s">
        <v>282</v>
      </c>
      <c r="J26" s="163" t="s">
        <v>282</v>
      </c>
      <c r="K26" s="163" t="s">
        <v>282</v>
      </c>
    </row>
    <row r="27" spans="1:13" s="43" customFormat="1" ht="0.75" hidden="1" customHeight="1" x14ac:dyDescent="0.3">
      <c r="A27" s="46"/>
      <c r="B27" s="48"/>
      <c r="C27" s="49"/>
      <c r="D27" s="49"/>
      <c r="E27" s="49"/>
      <c r="F27" s="66"/>
      <c r="G27" s="49"/>
      <c r="H27" s="49"/>
      <c r="I27" s="49"/>
      <c r="J27" s="66"/>
      <c r="K27" s="84"/>
    </row>
    <row r="28" spans="1:13" s="45" customFormat="1" ht="46.5" hidden="1" customHeight="1" x14ac:dyDescent="0.35">
      <c r="A28" s="46"/>
      <c r="B28" s="231"/>
      <c r="C28" s="232"/>
      <c r="D28" s="232"/>
      <c r="E28" s="232"/>
      <c r="F28" s="232"/>
      <c r="G28" s="232"/>
      <c r="H28" s="232"/>
      <c r="I28" s="232"/>
      <c r="J28" s="232"/>
      <c r="K28" s="84"/>
    </row>
    <row r="29" spans="1:13" s="45" customFormat="1" ht="20.25" customHeight="1" x14ac:dyDescent="0.35">
      <c r="A29" s="46"/>
      <c r="B29" s="157"/>
      <c r="C29" s="158"/>
      <c r="D29" s="158"/>
      <c r="E29" s="158"/>
      <c r="F29" s="67"/>
      <c r="G29" s="158"/>
      <c r="H29" s="158"/>
      <c r="I29" s="158"/>
      <c r="J29" s="67"/>
      <c r="K29" s="84"/>
    </row>
    <row r="30" spans="1:13" s="58" customFormat="1" ht="33.75" customHeight="1" x14ac:dyDescent="0.4">
      <c r="A30" s="228" t="s">
        <v>335</v>
      </c>
      <c r="B30" s="228"/>
      <c r="C30" s="228"/>
      <c r="D30" s="228"/>
      <c r="E30" s="71"/>
      <c r="F30" s="111"/>
      <c r="H30" s="59"/>
      <c r="I30" s="247" t="s">
        <v>334</v>
      </c>
      <c r="J30" s="247"/>
      <c r="K30" s="247"/>
      <c r="L30" s="247"/>
      <c r="M30" s="247"/>
    </row>
    <row r="31" spans="1:13" s="58" customFormat="1" ht="31.5" customHeight="1" x14ac:dyDescent="0.4">
      <c r="A31" s="228"/>
      <c r="B31" s="228"/>
      <c r="C31" s="228"/>
      <c r="D31" s="228"/>
      <c r="E31" s="71"/>
      <c r="F31" s="111"/>
      <c r="H31" s="59"/>
      <c r="I31" s="247"/>
      <c r="J31" s="247"/>
      <c r="K31" s="247"/>
      <c r="L31" s="247"/>
      <c r="M31" s="247"/>
    </row>
  </sheetData>
  <mergeCells count="16">
    <mergeCell ref="A30:D31"/>
    <mergeCell ref="F6:K6"/>
    <mergeCell ref="A4:K4"/>
    <mergeCell ref="A8:K8"/>
    <mergeCell ref="A12:K12"/>
    <mergeCell ref="A20:K20"/>
    <mergeCell ref="A23:K23"/>
    <mergeCell ref="A25:K25"/>
    <mergeCell ref="B28:J28"/>
    <mergeCell ref="I30:M31"/>
    <mergeCell ref="H2:K3"/>
    <mergeCell ref="A6:A7"/>
    <mergeCell ref="B6:B7"/>
    <mergeCell ref="C6:C7"/>
    <mergeCell ref="D6:D7"/>
    <mergeCell ref="E6:E7"/>
  </mergeCells>
  <pageMargins left="0.70866141732283472" right="0.70866141732283472" top="1.3779527559055118" bottom="0.74803149606299213" header="0.31496062992125984" footer="0.31496062992125984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65"/>
  <sheetViews>
    <sheetView view="pageBreakPreview" topLeftCell="A28" zoomScale="57" zoomScaleNormal="59" zoomScaleSheetLayoutView="57" zoomScalePageLayoutView="48" workbookViewId="0">
      <pane xSplit="3" topLeftCell="D1" activePane="topRight" state="frozen"/>
      <selection pane="topRight" activeCell="M18" sqref="M18"/>
    </sheetView>
  </sheetViews>
  <sheetFormatPr defaultRowHeight="18.75" x14ac:dyDescent="0.3"/>
  <cols>
    <col min="1" max="1" width="26.28515625" style="79" customWidth="1"/>
    <col min="2" max="2" width="32.5703125" style="79" customWidth="1"/>
    <col min="3" max="3" width="61.85546875" style="79" customWidth="1"/>
    <col min="4" max="4" width="19" style="79" customWidth="1"/>
    <col min="5" max="6" width="19.140625" style="75" customWidth="1"/>
    <col min="7" max="10" width="20.42578125" style="75" customWidth="1"/>
    <col min="11" max="11" width="21" style="75" customWidth="1"/>
    <col min="12" max="12" width="19.42578125" style="79" customWidth="1"/>
    <col min="13" max="13" width="19" style="79" customWidth="1"/>
    <col min="14" max="14" width="19.7109375" style="79" customWidth="1"/>
    <col min="15" max="15" width="20.5703125" style="79" customWidth="1"/>
    <col min="16" max="16" width="23.85546875" style="79" customWidth="1"/>
    <col min="17" max="17" width="20.140625" style="79" customWidth="1"/>
    <col min="18" max="18" width="28" style="79" customWidth="1"/>
    <col min="19" max="241" width="9.140625" style="79"/>
    <col min="242" max="242" width="0" style="79" hidden="1" customWidth="1"/>
    <col min="243" max="243" width="21.7109375" style="79" customWidth="1"/>
    <col min="244" max="244" width="48.140625" style="79" customWidth="1"/>
    <col min="245" max="245" width="29.7109375" style="79" customWidth="1"/>
    <col min="246" max="246" width="11.42578125" style="79" customWidth="1"/>
    <col min="247" max="247" width="7.5703125" style="79" customWidth="1"/>
    <col min="248" max="248" width="11.7109375" style="79" customWidth="1"/>
    <col min="249" max="249" width="7.140625" style="79" customWidth="1"/>
    <col min="250" max="250" width="0" style="79" hidden="1" customWidth="1"/>
    <col min="251" max="252" width="19.140625" style="79" customWidth="1"/>
    <col min="253" max="253" width="20.42578125" style="79" customWidth="1"/>
    <col min="254" max="254" width="20.85546875" style="79" customWidth="1"/>
    <col min="255" max="256" width="22" style="79" customWidth="1"/>
    <col min="257" max="257" width="0" style="79" hidden="1" customWidth="1"/>
    <col min="258" max="258" width="27.28515625" style="79" customWidth="1"/>
    <col min="259" max="259" width="18.140625" style="79" bestFit="1" customWidth="1"/>
    <col min="260" max="260" width="11.42578125" style="79" bestFit="1" customWidth="1"/>
    <col min="261" max="261" width="11.5703125" style="79" bestFit="1" customWidth="1"/>
    <col min="262" max="497" width="9.140625" style="79"/>
    <col min="498" max="498" width="0" style="79" hidden="1" customWidth="1"/>
    <col min="499" max="499" width="21.7109375" style="79" customWidth="1"/>
    <col min="500" max="500" width="48.140625" style="79" customWidth="1"/>
    <col min="501" max="501" width="29.7109375" style="79" customWidth="1"/>
    <col min="502" max="502" width="11.42578125" style="79" customWidth="1"/>
    <col min="503" max="503" width="7.5703125" style="79" customWidth="1"/>
    <col min="504" max="504" width="11.7109375" style="79" customWidth="1"/>
    <col min="505" max="505" width="7.140625" style="79" customWidth="1"/>
    <col min="506" max="506" width="0" style="79" hidden="1" customWidth="1"/>
    <col min="507" max="508" width="19.140625" style="79" customWidth="1"/>
    <col min="509" max="509" width="20.42578125" style="79" customWidth="1"/>
    <col min="510" max="510" width="20.85546875" style="79" customWidth="1"/>
    <col min="511" max="512" width="22" style="79" customWidth="1"/>
    <col min="513" max="513" width="0" style="79" hidden="1" customWidth="1"/>
    <col min="514" max="514" width="27.28515625" style="79" customWidth="1"/>
    <col min="515" max="515" width="18.140625" style="79" bestFit="1" customWidth="1"/>
    <col min="516" max="516" width="11.42578125" style="79" bestFit="1" customWidth="1"/>
    <col min="517" max="517" width="11.5703125" style="79" bestFit="1" customWidth="1"/>
    <col min="518" max="753" width="9.140625" style="79"/>
    <col min="754" max="754" width="0" style="79" hidden="1" customWidth="1"/>
    <col min="755" max="755" width="21.7109375" style="79" customWidth="1"/>
    <col min="756" max="756" width="48.140625" style="79" customWidth="1"/>
    <col min="757" max="757" width="29.7109375" style="79" customWidth="1"/>
    <col min="758" max="758" width="11.42578125" style="79" customWidth="1"/>
    <col min="759" max="759" width="7.5703125" style="79" customWidth="1"/>
    <col min="760" max="760" width="11.7109375" style="79" customWidth="1"/>
    <col min="761" max="761" width="7.140625" style="79" customWidth="1"/>
    <col min="762" max="762" width="0" style="79" hidden="1" customWidth="1"/>
    <col min="763" max="764" width="19.140625" style="79" customWidth="1"/>
    <col min="765" max="765" width="20.42578125" style="79" customWidth="1"/>
    <col min="766" max="766" width="20.85546875" style="79" customWidth="1"/>
    <col min="767" max="768" width="22" style="79" customWidth="1"/>
    <col min="769" max="769" width="0" style="79" hidden="1" customWidth="1"/>
    <col min="770" max="770" width="27.28515625" style="79" customWidth="1"/>
    <col min="771" max="771" width="18.140625" style="79" bestFit="1" customWidth="1"/>
    <col min="772" max="772" width="11.42578125" style="79" bestFit="1" customWidth="1"/>
    <col min="773" max="773" width="11.5703125" style="79" bestFit="1" customWidth="1"/>
    <col min="774" max="1009" width="9.140625" style="79"/>
    <col min="1010" max="1010" width="0" style="79" hidden="1" customWidth="1"/>
    <col min="1011" max="1011" width="21.7109375" style="79" customWidth="1"/>
    <col min="1012" max="1012" width="48.140625" style="79" customWidth="1"/>
    <col min="1013" max="1013" width="29.7109375" style="79" customWidth="1"/>
    <col min="1014" max="1014" width="11.42578125" style="79" customWidth="1"/>
    <col min="1015" max="1015" width="7.5703125" style="79" customWidth="1"/>
    <col min="1016" max="1016" width="11.7109375" style="79" customWidth="1"/>
    <col min="1017" max="1017" width="7.140625" style="79" customWidth="1"/>
    <col min="1018" max="1018" width="0" style="79" hidden="1" customWidth="1"/>
    <col min="1019" max="1020" width="19.140625" style="79" customWidth="1"/>
    <col min="1021" max="1021" width="20.42578125" style="79" customWidth="1"/>
    <col min="1022" max="1022" width="20.85546875" style="79" customWidth="1"/>
    <col min="1023" max="1024" width="22" style="79" customWidth="1"/>
    <col min="1025" max="1025" width="0" style="79" hidden="1" customWidth="1"/>
    <col min="1026" max="1026" width="27.28515625" style="79" customWidth="1"/>
    <col min="1027" max="1027" width="18.140625" style="79" bestFit="1" customWidth="1"/>
    <col min="1028" max="1028" width="11.42578125" style="79" bestFit="1" customWidth="1"/>
    <col min="1029" max="1029" width="11.5703125" style="79" bestFit="1" customWidth="1"/>
    <col min="1030" max="1265" width="9.140625" style="79"/>
    <col min="1266" max="1266" width="0" style="79" hidden="1" customWidth="1"/>
    <col min="1267" max="1267" width="21.7109375" style="79" customWidth="1"/>
    <col min="1268" max="1268" width="48.140625" style="79" customWidth="1"/>
    <col min="1269" max="1269" width="29.7109375" style="79" customWidth="1"/>
    <col min="1270" max="1270" width="11.42578125" style="79" customWidth="1"/>
    <col min="1271" max="1271" width="7.5703125" style="79" customWidth="1"/>
    <col min="1272" max="1272" width="11.7109375" style="79" customWidth="1"/>
    <col min="1273" max="1273" width="7.140625" style="79" customWidth="1"/>
    <col min="1274" max="1274" width="0" style="79" hidden="1" customWidth="1"/>
    <col min="1275" max="1276" width="19.140625" style="79" customWidth="1"/>
    <col min="1277" max="1277" width="20.42578125" style="79" customWidth="1"/>
    <col min="1278" max="1278" width="20.85546875" style="79" customWidth="1"/>
    <col min="1279" max="1280" width="22" style="79" customWidth="1"/>
    <col min="1281" max="1281" width="0" style="79" hidden="1" customWidth="1"/>
    <col min="1282" max="1282" width="27.28515625" style="79" customWidth="1"/>
    <col min="1283" max="1283" width="18.140625" style="79" bestFit="1" customWidth="1"/>
    <col min="1284" max="1284" width="11.42578125" style="79" bestFit="1" customWidth="1"/>
    <col min="1285" max="1285" width="11.5703125" style="79" bestFit="1" customWidth="1"/>
    <col min="1286" max="1521" width="9.140625" style="79"/>
    <col min="1522" max="1522" width="0" style="79" hidden="1" customWidth="1"/>
    <col min="1523" max="1523" width="21.7109375" style="79" customWidth="1"/>
    <col min="1524" max="1524" width="48.140625" style="79" customWidth="1"/>
    <col min="1525" max="1525" width="29.7109375" style="79" customWidth="1"/>
    <col min="1526" max="1526" width="11.42578125" style="79" customWidth="1"/>
    <col min="1527" max="1527" width="7.5703125" style="79" customWidth="1"/>
    <col min="1528" max="1528" width="11.7109375" style="79" customWidth="1"/>
    <col min="1529" max="1529" width="7.140625" style="79" customWidth="1"/>
    <col min="1530" max="1530" width="0" style="79" hidden="1" customWidth="1"/>
    <col min="1531" max="1532" width="19.140625" style="79" customWidth="1"/>
    <col min="1533" max="1533" width="20.42578125" style="79" customWidth="1"/>
    <col min="1534" max="1534" width="20.85546875" style="79" customWidth="1"/>
    <col min="1535" max="1536" width="22" style="79" customWidth="1"/>
    <col min="1537" max="1537" width="0" style="79" hidden="1" customWidth="1"/>
    <col min="1538" max="1538" width="27.28515625" style="79" customWidth="1"/>
    <col min="1539" max="1539" width="18.140625" style="79" bestFit="1" customWidth="1"/>
    <col min="1540" max="1540" width="11.42578125" style="79" bestFit="1" customWidth="1"/>
    <col min="1541" max="1541" width="11.5703125" style="79" bestFit="1" customWidth="1"/>
    <col min="1542" max="1777" width="9.140625" style="79"/>
    <col min="1778" max="1778" width="0" style="79" hidden="1" customWidth="1"/>
    <col min="1779" max="1779" width="21.7109375" style="79" customWidth="1"/>
    <col min="1780" max="1780" width="48.140625" style="79" customWidth="1"/>
    <col min="1781" max="1781" width="29.7109375" style="79" customWidth="1"/>
    <col min="1782" max="1782" width="11.42578125" style="79" customWidth="1"/>
    <col min="1783" max="1783" width="7.5703125" style="79" customWidth="1"/>
    <col min="1784" max="1784" width="11.7109375" style="79" customWidth="1"/>
    <col min="1785" max="1785" width="7.140625" style="79" customWidth="1"/>
    <col min="1786" max="1786" width="0" style="79" hidden="1" customWidth="1"/>
    <col min="1787" max="1788" width="19.140625" style="79" customWidth="1"/>
    <col min="1789" max="1789" width="20.42578125" style="79" customWidth="1"/>
    <col min="1790" max="1790" width="20.85546875" style="79" customWidth="1"/>
    <col min="1791" max="1792" width="22" style="79" customWidth="1"/>
    <col min="1793" max="1793" width="0" style="79" hidden="1" customWidth="1"/>
    <col min="1794" max="1794" width="27.28515625" style="79" customWidth="1"/>
    <col min="1795" max="1795" width="18.140625" style="79" bestFit="1" customWidth="1"/>
    <col min="1796" max="1796" width="11.42578125" style="79" bestFit="1" customWidth="1"/>
    <col min="1797" max="1797" width="11.5703125" style="79" bestFit="1" customWidth="1"/>
    <col min="1798" max="2033" width="9.140625" style="79"/>
    <col min="2034" max="2034" width="0" style="79" hidden="1" customWidth="1"/>
    <col min="2035" max="2035" width="21.7109375" style="79" customWidth="1"/>
    <col min="2036" max="2036" width="48.140625" style="79" customWidth="1"/>
    <col min="2037" max="2037" width="29.7109375" style="79" customWidth="1"/>
    <col min="2038" max="2038" width="11.42578125" style="79" customWidth="1"/>
    <col min="2039" max="2039" width="7.5703125" style="79" customWidth="1"/>
    <col min="2040" max="2040" width="11.7109375" style="79" customWidth="1"/>
    <col min="2041" max="2041" width="7.140625" style="79" customWidth="1"/>
    <col min="2042" max="2042" width="0" style="79" hidden="1" customWidth="1"/>
    <col min="2043" max="2044" width="19.140625" style="79" customWidth="1"/>
    <col min="2045" max="2045" width="20.42578125" style="79" customWidth="1"/>
    <col min="2046" max="2046" width="20.85546875" style="79" customWidth="1"/>
    <col min="2047" max="2048" width="22" style="79" customWidth="1"/>
    <col min="2049" max="2049" width="0" style="79" hidden="1" customWidth="1"/>
    <col min="2050" max="2050" width="27.28515625" style="79" customWidth="1"/>
    <col min="2051" max="2051" width="18.140625" style="79" bestFit="1" customWidth="1"/>
    <col min="2052" max="2052" width="11.42578125" style="79" bestFit="1" customWidth="1"/>
    <col min="2053" max="2053" width="11.5703125" style="79" bestFit="1" customWidth="1"/>
    <col min="2054" max="2289" width="9.140625" style="79"/>
    <col min="2290" max="2290" width="0" style="79" hidden="1" customWidth="1"/>
    <col min="2291" max="2291" width="21.7109375" style="79" customWidth="1"/>
    <col min="2292" max="2292" width="48.140625" style="79" customWidth="1"/>
    <col min="2293" max="2293" width="29.7109375" style="79" customWidth="1"/>
    <col min="2294" max="2294" width="11.42578125" style="79" customWidth="1"/>
    <col min="2295" max="2295" width="7.5703125" style="79" customWidth="1"/>
    <col min="2296" max="2296" width="11.7109375" style="79" customWidth="1"/>
    <col min="2297" max="2297" width="7.140625" style="79" customWidth="1"/>
    <col min="2298" max="2298" width="0" style="79" hidden="1" customWidth="1"/>
    <col min="2299" max="2300" width="19.140625" style="79" customWidth="1"/>
    <col min="2301" max="2301" width="20.42578125" style="79" customWidth="1"/>
    <col min="2302" max="2302" width="20.85546875" style="79" customWidth="1"/>
    <col min="2303" max="2304" width="22" style="79" customWidth="1"/>
    <col min="2305" max="2305" width="0" style="79" hidden="1" customWidth="1"/>
    <col min="2306" max="2306" width="27.28515625" style="79" customWidth="1"/>
    <col min="2307" max="2307" width="18.140625" style="79" bestFit="1" customWidth="1"/>
    <col min="2308" max="2308" width="11.42578125" style="79" bestFit="1" customWidth="1"/>
    <col min="2309" max="2309" width="11.5703125" style="79" bestFit="1" customWidth="1"/>
    <col min="2310" max="2545" width="9.140625" style="79"/>
    <col min="2546" max="2546" width="0" style="79" hidden="1" customWidth="1"/>
    <col min="2547" max="2547" width="21.7109375" style="79" customWidth="1"/>
    <col min="2548" max="2548" width="48.140625" style="79" customWidth="1"/>
    <col min="2549" max="2549" width="29.7109375" style="79" customWidth="1"/>
    <col min="2550" max="2550" width="11.42578125" style="79" customWidth="1"/>
    <col min="2551" max="2551" width="7.5703125" style="79" customWidth="1"/>
    <col min="2552" max="2552" width="11.7109375" style="79" customWidth="1"/>
    <col min="2553" max="2553" width="7.140625" style="79" customWidth="1"/>
    <col min="2554" max="2554" width="0" style="79" hidden="1" customWidth="1"/>
    <col min="2555" max="2556" width="19.140625" style="79" customWidth="1"/>
    <col min="2557" max="2557" width="20.42578125" style="79" customWidth="1"/>
    <col min="2558" max="2558" width="20.85546875" style="79" customWidth="1"/>
    <col min="2559" max="2560" width="22" style="79" customWidth="1"/>
    <col min="2561" max="2561" width="0" style="79" hidden="1" customWidth="1"/>
    <col min="2562" max="2562" width="27.28515625" style="79" customWidth="1"/>
    <col min="2563" max="2563" width="18.140625" style="79" bestFit="1" customWidth="1"/>
    <col min="2564" max="2564" width="11.42578125" style="79" bestFit="1" customWidth="1"/>
    <col min="2565" max="2565" width="11.5703125" style="79" bestFit="1" customWidth="1"/>
    <col min="2566" max="2801" width="9.140625" style="79"/>
    <col min="2802" max="2802" width="0" style="79" hidden="1" customWidth="1"/>
    <col min="2803" max="2803" width="21.7109375" style="79" customWidth="1"/>
    <col min="2804" max="2804" width="48.140625" style="79" customWidth="1"/>
    <col min="2805" max="2805" width="29.7109375" style="79" customWidth="1"/>
    <col min="2806" max="2806" width="11.42578125" style="79" customWidth="1"/>
    <col min="2807" max="2807" width="7.5703125" style="79" customWidth="1"/>
    <col min="2808" max="2808" width="11.7109375" style="79" customWidth="1"/>
    <col min="2809" max="2809" width="7.140625" style="79" customWidth="1"/>
    <col min="2810" max="2810" width="0" style="79" hidden="1" customWidth="1"/>
    <col min="2811" max="2812" width="19.140625" style="79" customWidth="1"/>
    <col min="2813" max="2813" width="20.42578125" style="79" customWidth="1"/>
    <col min="2814" max="2814" width="20.85546875" style="79" customWidth="1"/>
    <col min="2815" max="2816" width="22" style="79" customWidth="1"/>
    <col min="2817" max="2817" width="0" style="79" hidden="1" customWidth="1"/>
    <col min="2818" max="2818" width="27.28515625" style="79" customWidth="1"/>
    <col min="2819" max="2819" width="18.140625" style="79" bestFit="1" customWidth="1"/>
    <col min="2820" max="2820" width="11.42578125" style="79" bestFit="1" customWidth="1"/>
    <col min="2821" max="2821" width="11.5703125" style="79" bestFit="1" customWidth="1"/>
    <col min="2822" max="3057" width="9.140625" style="79"/>
    <col min="3058" max="3058" width="0" style="79" hidden="1" customWidth="1"/>
    <col min="3059" max="3059" width="21.7109375" style="79" customWidth="1"/>
    <col min="3060" max="3060" width="48.140625" style="79" customWidth="1"/>
    <col min="3061" max="3061" width="29.7109375" style="79" customWidth="1"/>
    <col min="3062" max="3062" width="11.42578125" style="79" customWidth="1"/>
    <col min="3063" max="3063" width="7.5703125" style="79" customWidth="1"/>
    <col min="3064" max="3064" width="11.7109375" style="79" customWidth="1"/>
    <col min="3065" max="3065" width="7.140625" style="79" customWidth="1"/>
    <col min="3066" max="3066" width="0" style="79" hidden="1" customWidth="1"/>
    <col min="3067" max="3068" width="19.140625" style="79" customWidth="1"/>
    <col min="3069" max="3069" width="20.42578125" style="79" customWidth="1"/>
    <col min="3070" max="3070" width="20.85546875" style="79" customWidth="1"/>
    <col min="3071" max="3072" width="22" style="79" customWidth="1"/>
    <col min="3073" max="3073" width="0" style="79" hidden="1" customWidth="1"/>
    <col min="3074" max="3074" width="27.28515625" style="79" customWidth="1"/>
    <col min="3075" max="3075" width="18.140625" style="79" bestFit="1" customWidth="1"/>
    <col min="3076" max="3076" width="11.42578125" style="79" bestFit="1" customWidth="1"/>
    <col min="3077" max="3077" width="11.5703125" style="79" bestFit="1" customWidth="1"/>
    <col min="3078" max="3313" width="9.140625" style="79"/>
    <col min="3314" max="3314" width="0" style="79" hidden="1" customWidth="1"/>
    <col min="3315" max="3315" width="21.7109375" style="79" customWidth="1"/>
    <col min="3316" max="3316" width="48.140625" style="79" customWidth="1"/>
    <col min="3317" max="3317" width="29.7109375" style="79" customWidth="1"/>
    <col min="3318" max="3318" width="11.42578125" style="79" customWidth="1"/>
    <col min="3319" max="3319" width="7.5703125" style="79" customWidth="1"/>
    <col min="3320" max="3320" width="11.7109375" style="79" customWidth="1"/>
    <col min="3321" max="3321" width="7.140625" style="79" customWidth="1"/>
    <col min="3322" max="3322" width="0" style="79" hidden="1" customWidth="1"/>
    <col min="3323" max="3324" width="19.140625" style="79" customWidth="1"/>
    <col min="3325" max="3325" width="20.42578125" style="79" customWidth="1"/>
    <col min="3326" max="3326" width="20.85546875" style="79" customWidth="1"/>
    <col min="3327" max="3328" width="22" style="79" customWidth="1"/>
    <col min="3329" max="3329" width="0" style="79" hidden="1" customWidth="1"/>
    <col min="3330" max="3330" width="27.28515625" style="79" customWidth="1"/>
    <col min="3331" max="3331" width="18.140625" style="79" bestFit="1" customWidth="1"/>
    <col min="3332" max="3332" width="11.42578125" style="79" bestFit="1" customWidth="1"/>
    <col min="3333" max="3333" width="11.5703125" style="79" bestFit="1" customWidth="1"/>
    <col min="3334" max="3569" width="9.140625" style="79"/>
    <col min="3570" max="3570" width="0" style="79" hidden="1" customWidth="1"/>
    <col min="3571" max="3571" width="21.7109375" style="79" customWidth="1"/>
    <col min="3572" max="3572" width="48.140625" style="79" customWidth="1"/>
    <col min="3573" max="3573" width="29.7109375" style="79" customWidth="1"/>
    <col min="3574" max="3574" width="11.42578125" style="79" customWidth="1"/>
    <col min="3575" max="3575" width="7.5703125" style="79" customWidth="1"/>
    <col min="3576" max="3576" width="11.7109375" style="79" customWidth="1"/>
    <col min="3577" max="3577" width="7.140625" style="79" customWidth="1"/>
    <col min="3578" max="3578" width="0" style="79" hidden="1" customWidth="1"/>
    <col min="3579" max="3580" width="19.140625" style="79" customWidth="1"/>
    <col min="3581" max="3581" width="20.42578125" style="79" customWidth="1"/>
    <col min="3582" max="3582" width="20.85546875" style="79" customWidth="1"/>
    <col min="3583" max="3584" width="22" style="79" customWidth="1"/>
    <col min="3585" max="3585" width="0" style="79" hidden="1" customWidth="1"/>
    <col min="3586" max="3586" width="27.28515625" style="79" customWidth="1"/>
    <col min="3587" max="3587" width="18.140625" style="79" bestFit="1" customWidth="1"/>
    <col min="3588" max="3588" width="11.42578125" style="79" bestFit="1" customWidth="1"/>
    <col min="3589" max="3589" width="11.5703125" style="79" bestFit="1" customWidth="1"/>
    <col min="3590" max="3825" width="9.140625" style="79"/>
    <col min="3826" max="3826" width="0" style="79" hidden="1" customWidth="1"/>
    <col min="3827" max="3827" width="21.7109375" style="79" customWidth="1"/>
    <col min="3828" max="3828" width="48.140625" style="79" customWidth="1"/>
    <col min="3829" max="3829" width="29.7109375" style="79" customWidth="1"/>
    <col min="3830" max="3830" width="11.42578125" style="79" customWidth="1"/>
    <col min="3831" max="3831" width="7.5703125" style="79" customWidth="1"/>
    <col min="3832" max="3832" width="11.7109375" style="79" customWidth="1"/>
    <col min="3833" max="3833" width="7.140625" style="79" customWidth="1"/>
    <col min="3834" max="3834" width="0" style="79" hidden="1" customWidth="1"/>
    <col min="3835" max="3836" width="19.140625" style="79" customWidth="1"/>
    <col min="3837" max="3837" width="20.42578125" style="79" customWidth="1"/>
    <col min="3838" max="3838" width="20.85546875" style="79" customWidth="1"/>
    <col min="3839" max="3840" width="22" style="79" customWidth="1"/>
    <col min="3841" max="3841" width="0" style="79" hidden="1" customWidth="1"/>
    <col min="3842" max="3842" width="27.28515625" style="79" customWidth="1"/>
    <col min="3843" max="3843" width="18.140625" style="79" bestFit="1" customWidth="1"/>
    <col min="3844" max="3844" width="11.42578125" style="79" bestFit="1" customWidth="1"/>
    <col min="3845" max="3845" width="11.5703125" style="79" bestFit="1" customWidth="1"/>
    <col min="3846" max="4081" width="9.140625" style="79"/>
    <col min="4082" max="4082" width="0" style="79" hidden="1" customWidth="1"/>
    <col min="4083" max="4083" width="21.7109375" style="79" customWidth="1"/>
    <col min="4084" max="4084" width="48.140625" style="79" customWidth="1"/>
    <col min="4085" max="4085" width="29.7109375" style="79" customWidth="1"/>
    <col min="4086" max="4086" width="11.42578125" style="79" customWidth="1"/>
    <col min="4087" max="4087" width="7.5703125" style="79" customWidth="1"/>
    <col min="4088" max="4088" width="11.7109375" style="79" customWidth="1"/>
    <col min="4089" max="4089" width="7.140625" style="79" customWidth="1"/>
    <col min="4090" max="4090" width="0" style="79" hidden="1" customWidth="1"/>
    <col min="4091" max="4092" width="19.140625" style="79" customWidth="1"/>
    <col min="4093" max="4093" width="20.42578125" style="79" customWidth="1"/>
    <col min="4094" max="4094" width="20.85546875" style="79" customWidth="1"/>
    <col min="4095" max="4096" width="22" style="79" customWidth="1"/>
    <col min="4097" max="4097" width="0" style="79" hidden="1" customWidth="1"/>
    <col min="4098" max="4098" width="27.28515625" style="79" customWidth="1"/>
    <col min="4099" max="4099" width="18.140625" style="79" bestFit="1" customWidth="1"/>
    <col min="4100" max="4100" width="11.42578125" style="79" bestFit="1" customWidth="1"/>
    <col min="4101" max="4101" width="11.5703125" style="79" bestFit="1" customWidth="1"/>
    <col min="4102" max="4337" width="9.140625" style="79"/>
    <col min="4338" max="4338" width="0" style="79" hidden="1" customWidth="1"/>
    <col min="4339" max="4339" width="21.7109375" style="79" customWidth="1"/>
    <col min="4340" max="4340" width="48.140625" style="79" customWidth="1"/>
    <col min="4341" max="4341" width="29.7109375" style="79" customWidth="1"/>
    <col min="4342" max="4342" width="11.42578125" style="79" customWidth="1"/>
    <col min="4343" max="4343" width="7.5703125" style="79" customWidth="1"/>
    <col min="4344" max="4344" width="11.7109375" style="79" customWidth="1"/>
    <col min="4345" max="4345" width="7.140625" style="79" customWidth="1"/>
    <col min="4346" max="4346" width="0" style="79" hidden="1" customWidth="1"/>
    <col min="4347" max="4348" width="19.140625" style="79" customWidth="1"/>
    <col min="4349" max="4349" width="20.42578125" style="79" customWidth="1"/>
    <col min="4350" max="4350" width="20.85546875" style="79" customWidth="1"/>
    <col min="4351" max="4352" width="22" style="79" customWidth="1"/>
    <col min="4353" max="4353" width="0" style="79" hidden="1" customWidth="1"/>
    <col min="4354" max="4354" width="27.28515625" style="79" customWidth="1"/>
    <col min="4355" max="4355" width="18.140625" style="79" bestFit="1" customWidth="1"/>
    <col min="4356" max="4356" width="11.42578125" style="79" bestFit="1" customWidth="1"/>
    <col min="4357" max="4357" width="11.5703125" style="79" bestFit="1" customWidth="1"/>
    <col min="4358" max="4593" width="9.140625" style="79"/>
    <col min="4594" max="4594" width="0" style="79" hidden="1" customWidth="1"/>
    <col min="4595" max="4595" width="21.7109375" style="79" customWidth="1"/>
    <col min="4596" max="4596" width="48.140625" style="79" customWidth="1"/>
    <col min="4597" max="4597" width="29.7109375" style="79" customWidth="1"/>
    <col min="4598" max="4598" width="11.42578125" style="79" customWidth="1"/>
    <col min="4599" max="4599" width="7.5703125" style="79" customWidth="1"/>
    <col min="4600" max="4600" width="11.7109375" style="79" customWidth="1"/>
    <col min="4601" max="4601" width="7.140625" style="79" customWidth="1"/>
    <col min="4602" max="4602" width="0" style="79" hidden="1" customWidth="1"/>
    <col min="4603" max="4604" width="19.140625" style="79" customWidth="1"/>
    <col min="4605" max="4605" width="20.42578125" style="79" customWidth="1"/>
    <col min="4606" max="4606" width="20.85546875" style="79" customWidth="1"/>
    <col min="4607" max="4608" width="22" style="79" customWidth="1"/>
    <col min="4609" max="4609" width="0" style="79" hidden="1" customWidth="1"/>
    <col min="4610" max="4610" width="27.28515625" style="79" customWidth="1"/>
    <col min="4611" max="4611" width="18.140625" style="79" bestFit="1" customWidth="1"/>
    <col min="4612" max="4612" width="11.42578125" style="79" bestFit="1" customWidth="1"/>
    <col min="4613" max="4613" width="11.5703125" style="79" bestFit="1" customWidth="1"/>
    <col min="4614" max="4849" width="9.140625" style="79"/>
    <col min="4850" max="4850" width="0" style="79" hidden="1" customWidth="1"/>
    <col min="4851" max="4851" width="21.7109375" style="79" customWidth="1"/>
    <col min="4852" max="4852" width="48.140625" style="79" customWidth="1"/>
    <col min="4853" max="4853" width="29.7109375" style="79" customWidth="1"/>
    <col min="4854" max="4854" width="11.42578125" style="79" customWidth="1"/>
    <col min="4855" max="4855" width="7.5703125" style="79" customWidth="1"/>
    <col min="4856" max="4856" width="11.7109375" style="79" customWidth="1"/>
    <col min="4857" max="4857" width="7.140625" style="79" customWidth="1"/>
    <col min="4858" max="4858" width="0" style="79" hidden="1" customWidth="1"/>
    <col min="4859" max="4860" width="19.140625" style="79" customWidth="1"/>
    <col min="4861" max="4861" width="20.42578125" style="79" customWidth="1"/>
    <col min="4862" max="4862" width="20.85546875" style="79" customWidth="1"/>
    <col min="4863" max="4864" width="22" style="79" customWidth="1"/>
    <col min="4865" max="4865" width="0" style="79" hidden="1" customWidth="1"/>
    <col min="4866" max="4866" width="27.28515625" style="79" customWidth="1"/>
    <col min="4867" max="4867" width="18.140625" style="79" bestFit="1" customWidth="1"/>
    <col min="4868" max="4868" width="11.42578125" style="79" bestFit="1" customWidth="1"/>
    <col min="4869" max="4869" width="11.5703125" style="79" bestFit="1" customWidth="1"/>
    <col min="4870" max="5105" width="9.140625" style="79"/>
    <col min="5106" max="5106" width="0" style="79" hidden="1" customWidth="1"/>
    <col min="5107" max="5107" width="21.7109375" style="79" customWidth="1"/>
    <col min="5108" max="5108" width="48.140625" style="79" customWidth="1"/>
    <col min="5109" max="5109" width="29.7109375" style="79" customWidth="1"/>
    <col min="5110" max="5110" width="11.42578125" style="79" customWidth="1"/>
    <col min="5111" max="5111" width="7.5703125" style="79" customWidth="1"/>
    <col min="5112" max="5112" width="11.7109375" style="79" customWidth="1"/>
    <col min="5113" max="5113" width="7.140625" style="79" customWidth="1"/>
    <col min="5114" max="5114" width="0" style="79" hidden="1" customWidth="1"/>
    <col min="5115" max="5116" width="19.140625" style="79" customWidth="1"/>
    <col min="5117" max="5117" width="20.42578125" style="79" customWidth="1"/>
    <col min="5118" max="5118" width="20.85546875" style="79" customWidth="1"/>
    <col min="5119" max="5120" width="22" style="79" customWidth="1"/>
    <col min="5121" max="5121" width="0" style="79" hidden="1" customWidth="1"/>
    <col min="5122" max="5122" width="27.28515625" style="79" customWidth="1"/>
    <col min="5123" max="5123" width="18.140625" style="79" bestFit="1" customWidth="1"/>
    <col min="5124" max="5124" width="11.42578125" style="79" bestFit="1" customWidth="1"/>
    <col min="5125" max="5125" width="11.5703125" style="79" bestFit="1" customWidth="1"/>
    <col min="5126" max="5361" width="9.140625" style="79"/>
    <col min="5362" max="5362" width="0" style="79" hidden="1" customWidth="1"/>
    <col min="5363" max="5363" width="21.7109375" style="79" customWidth="1"/>
    <col min="5364" max="5364" width="48.140625" style="79" customWidth="1"/>
    <col min="5365" max="5365" width="29.7109375" style="79" customWidth="1"/>
    <col min="5366" max="5366" width="11.42578125" style="79" customWidth="1"/>
    <col min="5367" max="5367" width="7.5703125" style="79" customWidth="1"/>
    <col min="5368" max="5368" width="11.7109375" style="79" customWidth="1"/>
    <col min="5369" max="5369" width="7.140625" style="79" customWidth="1"/>
    <col min="5370" max="5370" width="0" style="79" hidden="1" customWidth="1"/>
    <col min="5371" max="5372" width="19.140625" style="79" customWidth="1"/>
    <col min="5373" max="5373" width="20.42578125" style="79" customWidth="1"/>
    <col min="5374" max="5374" width="20.85546875" style="79" customWidth="1"/>
    <col min="5375" max="5376" width="22" style="79" customWidth="1"/>
    <col min="5377" max="5377" width="0" style="79" hidden="1" customWidth="1"/>
    <col min="5378" max="5378" width="27.28515625" style="79" customWidth="1"/>
    <col min="5379" max="5379" width="18.140625" style="79" bestFit="1" customWidth="1"/>
    <col min="5380" max="5380" width="11.42578125" style="79" bestFit="1" customWidth="1"/>
    <col min="5381" max="5381" width="11.5703125" style="79" bestFit="1" customWidth="1"/>
    <col min="5382" max="5617" width="9.140625" style="79"/>
    <col min="5618" max="5618" width="0" style="79" hidden="1" customWidth="1"/>
    <col min="5619" max="5619" width="21.7109375" style="79" customWidth="1"/>
    <col min="5620" max="5620" width="48.140625" style="79" customWidth="1"/>
    <col min="5621" max="5621" width="29.7109375" style="79" customWidth="1"/>
    <col min="5622" max="5622" width="11.42578125" style="79" customWidth="1"/>
    <col min="5623" max="5623" width="7.5703125" style="79" customWidth="1"/>
    <col min="5624" max="5624" width="11.7109375" style="79" customWidth="1"/>
    <col min="5625" max="5625" width="7.140625" style="79" customWidth="1"/>
    <col min="5626" max="5626" width="0" style="79" hidden="1" customWidth="1"/>
    <col min="5627" max="5628" width="19.140625" style="79" customWidth="1"/>
    <col min="5629" max="5629" width="20.42578125" style="79" customWidth="1"/>
    <col min="5630" max="5630" width="20.85546875" style="79" customWidth="1"/>
    <col min="5631" max="5632" width="22" style="79" customWidth="1"/>
    <col min="5633" max="5633" width="0" style="79" hidden="1" customWidth="1"/>
    <col min="5634" max="5634" width="27.28515625" style="79" customWidth="1"/>
    <col min="5635" max="5635" width="18.140625" style="79" bestFit="1" customWidth="1"/>
    <col min="5636" max="5636" width="11.42578125" style="79" bestFit="1" customWidth="1"/>
    <col min="5637" max="5637" width="11.5703125" style="79" bestFit="1" customWidth="1"/>
    <col min="5638" max="5873" width="9.140625" style="79"/>
    <col min="5874" max="5874" width="0" style="79" hidden="1" customWidth="1"/>
    <col min="5875" max="5875" width="21.7109375" style="79" customWidth="1"/>
    <col min="5876" max="5876" width="48.140625" style="79" customWidth="1"/>
    <col min="5877" max="5877" width="29.7109375" style="79" customWidth="1"/>
    <col min="5878" max="5878" width="11.42578125" style="79" customWidth="1"/>
    <col min="5879" max="5879" width="7.5703125" style="79" customWidth="1"/>
    <col min="5880" max="5880" width="11.7109375" style="79" customWidth="1"/>
    <col min="5881" max="5881" width="7.140625" style="79" customWidth="1"/>
    <col min="5882" max="5882" width="0" style="79" hidden="1" customWidth="1"/>
    <col min="5883" max="5884" width="19.140625" style="79" customWidth="1"/>
    <col min="5885" max="5885" width="20.42578125" style="79" customWidth="1"/>
    <col min="5886" max="5886" width="20.85546875" style="79" customWidth="1"/>
    <col min="5887" max="5888" width="22" style="79" customWidth="1"/>
    <col min="5889" max="5889" width="0" style="79" hidden="1" customWidth="1"/>
    <col min="5890" max="5890" width="27.28515625" style="79" customWidth="1"/>
    <col min="5891" max="5891" width="18.140625" style="79" bestFit="1" customWidth="1"/>
    <col min="5892" max="5892" width="11.42578125" style="79" bestFit="1" customWidth="1"/>
    <col min="5893" max="5893" width="11.5703125" style="79" bestFit="1" customWidth="1"/>
    <col min="5894" max="6129" width="9.140625" style="79"/>
    <col min="6130" max="6130" width="0" style="79" hidden="1" customWidth="1"/>
    <col min="6131" max="6131" width="21.7109375" style="79" customWidth="1"/>
    <col min="6132" max="6132" width="48.140625" style="79" customWidth="1"/>
    <col min="6133" max="6133" width="29.7109375" style="79" customWidth="1"/>
    <col min="6134" max="6134" width="11.42578125" style="79" customWidth="1"/>
    <col min="6135" max="6135" width="7.5703125" style="79" customWidth="1"/>
    <col min="6136" max="6136" width="11.7109375" style="79" customWidth="1"/>
    <col min="6137" max="6137" width="7.140625" style="79" customWidth="1"/>
    <col min="6138" max="6138" width="0" style="79" hidden="1" customWidth="1"/>
    <col min="6139" max="6140" width="19.140625" style="79" customWidth="1"/>
    <col min="6141" max="6141" width="20.42578125" style="79" customWidth="1"/>
    <col min="6142" max="6142" width="20.85546875" style="79" customWidth="1"/>
    <col min="6143" max="6144" width="22" style="79" customWidth="1"/>
    <col min="6145" max="6145" width="0" style="79" hidden="1" customWidth="1"/>
    <col min="6146" max="6146" width="27.28515625" style="79" customWidth="1"/>
    <col min="6147" max="6147" width="18.140625" style="79" bestFit="1" customWidth="1"/>
    <col min="6148" max="6148" width="11.42578125" style="79" bestFit="1" customWidth="1"/>
    <col min="6149" max="6149" width="11.5703125" style="79" bestFit="1" customWidth="1"/>
    <col min="6150" max="6385" width="9.140625" style="79"/>
    <col min="6386" max="6386" width="0" style="79" hidden="1" customWidth="1"/>
    <col min="6387" max="6387" width="21.7109375" style="79" customWidth="1"/>
    <col min="6388" max="6388" width="48.140625" style="79" customWidth="1"/>
    <col min="6389" max="6389" width="29.7109375" style="79" customWidth="1"/>
    <col min="6390" max="6390" width="11.42578125" style="79" customWidth="1"/>
    <col min="6391" max="6391" width="7.5703125" style="79" customWidth="1"/>
    <col min="6392" max="6392" width="11.7109375" style="79" customWidth="1"/>
    <col min="6393" max="6393" width="7.140625" style="79" customWidth="1"/>
    <col min="6394" max="6394" width="0" style="79" hidden="1" customWidth="1"/>
    <col min="6395" max="6396" width="19.140625" style="79" customWidth="1"/>
    <col min="6397" max="6397" width="20.42578125" style="79" customWidth="1"/>
    <col min="6398" max="6398" width="20.85546875" style="79" customWidth="1"/>
    <col min="6399" max="6400" width="22" style="79" customWidth="1"/>
    <col min="6401" max="6401" width="0" style="79" hidden="1" customWidth="1"/>
    <col min="6402" max="6402" width="27.28515625" style="79" customWidth="1"/>
    <col min="6403" max="6403" width="18.140625" style="79" bestFit="1" customWidth="1"/>
    <col min="6404" max="6404" width="11.42578125" style="79" bestFit="1" customWidth="1"/>
    <col min="6405" max="6405" width="11.5703125" style="79" bestFit="1" customWidth="1"/>
    <col min="6406" max="6641" width="9.140625" style="79"/>
    <col min="6642" max="6642" width="0" style="79" hidden="1" customWidth="1"/>
    <col min="6643" max="6643" width="21.7109375" style="79" customWidth="1"/>
    <col min="6644" max="6644" width="48.140625" style="79" customWidth="1"/>
    <col min="6645" max="6645" width="29.7109375" style="79" customWidth="1"/>
    <col min="6646" max="6646" width="11.42578125" style="79" customWidth="1"/>
    <col min="6647" max="6647" width="7.5703125" style="79" customWidth="1"/>
    <col min="6648" max="6648" width="11.7109375" style="79" customWidth="1"/>
    <col min="6649" max="6649" width="7.140625" style="79" customWidth="1"/>
    <col min="6650" max="6650" width="0" style="79" hidden="1" customWidth="1"/>
    <col min="6651" max="6652" width="19.140625" style="79" customWidth="1"/>
    <col min="6653" max="6653" width="20.42578125" style="79" customWidth="1"/>
    <col min="6654" max="6654" width="20.85546875" style="79" customWidth="1"/>
    <col min="6655" max="6656" width="22" style="79" customWidth="1"/>
    <col min="6657" max="6657" width="0" style="79" hidden="1" customWidth="1"/>
    <col min="6658" max="6658" width="27.28515625" style="79" customWidth="1"/>
    <col min="6659" max="6659" width="18.140625" style="79" bestFit="1" customWidth="1"/>
    <col min="6660" max="6660" width="11.42578125" style="79" bestFit="1" customWidth="1"/>
    <col min="6661" max="6661" width="11.5703125" style="79" bestFit="1" customWidth="1"/>
    <col min="6662" max="6897" width="9.140625" style="79"/>
    <col min="6898" max="6898" width="0" style="79" hidden="1" customWidth="1"/>
    <col min="6899" max="6899" width="21.7109375" style="79" customWidth="1"/>
    <col min="6900" max="6900" width="48.140625" style="79" customWidth="1"/>
    <col min="6901" max="6901" width="29.7109375" style="79" customWidth="1"/>
    <col min="6902" max="6902" width="11.42578125" style="79" customWidth="1"/>
    <col min="6903" max="6903" width="7.5703125" style="79" customWidth="1"/>
    <col min="6904" max="6904" width="11.7109375" style="79" customWidth="1"/>
    <col min="6905" max="6905" width="7.140625" style="79" customWidth="1"/>
    <col min="6906" max="6906" width="0" style="79" hidden="1" customWidth="1"/>
    <col min="6907" max="6908" width="19.140625" style="79" customWidth="1"/>
    <col min="6909" max="6909" width="20.42578125" style="79" customWidth="1"/>
    <col min="6910" max="6910" width="20.85546875" style="79" customWidth="1"/>
    <col min="6911" max="6912" width="22" style="79" customWidth="1"/>
    <col min="6913" max="6913" width="0" style="79" hidden="1" customWidth="1"/>
    <col min="6914" max="6914" width="27.28515625" style="79" customWidth="1"/>
    <col min="6915" max="6915" width="18.140625" style="79" bestFit="1" customWidth="1"/>
    <col min="6916" max="6916" width="11.42578125" style="79" bestFit="1" customWidth="1"/>
    <col min="6917" max="6917" width="11.5703125" style="79" bestFit="1" customWidth="1"/>
    <col min="6918" max="7153" width="9.140625" style="79"/>
    <col min="7154" max="7154" width="0" style="79" hidden="1" customWidth="1"/>
    <col min="7155" max="7155" width="21.7109375" style="79" customWidth="1"/>
    <col min="7156" max="7156" width="48.140625" style="79" customWidth="1"/>
    <col min="7157" max="7157" width="29.7109375" style="79" customWidth="1"/>
    <col min="7158" max="7158" width="11.42578125" style="79" customWidth="1"/>
    <col min="7159" max="7159" width="7.5703125" style="79" customWidth="1"/>
    <col min="7160" max="7160" width="11.7109375" style="79" customWidth="1"/>
    <col min="7161" max="7161" width="7.140625" style="79" customWidth="1"/>
    <col min="7162" max="7162" width="0" style="79" hidden="1" customWidth="1"/>
    <col min="7163" max="7164" width="19.140625" style="79" customWidth="1"/>
    <col min="7165" max="7165" width="20.42578125" style="79" customWidth="1"/>
    <col min="7166" max="7166" width="20.85546875" style="79" customWidth="1"/>
    <col min="7167" max="7168" width="22" style="79" customWidth="1"/>
    <col min="7169" max="7169" width="0" style="79" hidden="1" customWidth="1"/>
    <col min="7170" max="7170" width="27.28515625" style="79" customWidth="1"/>
    <col min="7171" max="7171" width="18.140625" style="79" bestFit="1" customWidth="1"/>
    <col min="7172" max="7172" width="11.42578125" style="79" bestFit="1" customWidth="1"/>
    <col min="7173" max="7173" width="11.5703125" style="79" bestFit="1" customWidth="1"/>
    <col min="7174" max="7409" width="9.140625" style="79"/>
    <col min="7410" max="7410" width="0" style="79" hidden="1" customWidth="1"/>
    <col min="7411" max="7411" width="21.7109375" style="79" customWidth="1"/>
    <col min="7412" max="7412" width="48.140625" style="79" customWidth="1"/>
    <col min="7413" max="7413" width="29.7109375" style="79" customWidth="1"/>
    <col min="7414" max="7414" width="11.42578125" style="79" customWidth="1"/>
    <col min="7415" max="7415" width="7.5703125" style="79" customWidth="1"/>
    <col min="7416" max="7416" width="11.7109375" style="79" customWidth="1"/>
    <col min="7417" max="7417" width="7.140625" style="79" customWidth="1"/>
    <col min="7418" max="7418" width="0" style="79" hidden="1" customWidth="1"/>
    <col min="7419" max="7420" width="19.140625" style="79" customWidth="1"/>
    <col min="7421" max="7421" width="20.42578125" style="79" customWidth="1"/>
    <col min="7422" max="7422" width="20.85546875" style="79" customWidth="1"/>
    <col min="7423" max="7424" width="22" style="79" customWidth="1"/>
    <col min="7425" max="7425" width="0" style="79" hidden="1" customWidth="1"/>
    <col min="7426" max="7426" width="27.28515625" style="79" customWidth="1"/>
    <col min="7427" max="7427" width="18.140625" style="79" bestFit="1" customWidth="1"/>
    <col min="7428" max="7428" width="11.42578125" style="79" bestFit="1" customWidth="1"/>
    <col min="7429" max="7429" width="11.5703125" style="79" bestFit="1" customWidth="1"/>
    <col min="7430" max="7665" width="9.140625" style="79"/>
    <col min="7666" max="7666" width="0" style="79" hidden="1" customWidth="1"/>
    <col min="7667" max="7667" width="21.7109375" style="79" customWidth="1"/>
    <col min="7668" max="7668" width="48.140625" style="79" customWidth="1"/>
    <col min="7669" max="7669" width="29.7109375" style="79" customWidth="1"/>
    <col min="7670" max="7670" width="11.42578125" style="79" customWidth="1"/>
    <col min="7671" max="7671" width="7.5703125" style="79" customWidth="1"/>
    <col min="7672" max="7672" width="11.7109375" style="79" customWidth="1"/>
    <col min="7673" max="7673" width="7.140625" style="79" customWidth="1"/>
    <col min="7674" max="7674" width="0" style="79" hidden="1" customWidth="1"/>
    <col min="7675" max="7676" width="19.140625" style="79" customWidth="1"/>
    <col min="7677" max="7677" width="20.42578125" style="79" customWidth="1"/>
    <col min="7678" max="7678" width="20.85546875" style="79" customWidth="1"/>
    <col min="7679" max="7680" width="22" style="79" customWidth="1"/>
    <col min="7681" max="7681" width="0" style="79" hidden="1" customWidth="1"/>
    <col min="7682" max="7682" width="27.28515625" style="79" customWidth="1"/>
    <col min="7683" max="7683" width="18.140625" style="79" bestFit="1" customWidth="1"/>
    <col min="7684" max="7684" width="11.42578125" style="79" bestFit="1" customWidth="1"/>
    <col min="7685" max="7685" width="11.5703125" style="79" bestFit="1" customWidth="1"/>
    <col min="7686" max="7921" width="9.140625" style="79"/>
    <col min="7922" max="7922" width="0" style="79" hidden="1" customWidth="1"/>
    <col min="7923" max="7923" width="21.7109375" style="79" customWidth="1"/>
    <col min="7924" max="7924" width="48.140625" style="79" customWidth="1"/>
    <col min="7925" max="7925" width="29.7109375" style="79" customWidth="1"/>
    <col min="7926" max="7926" width="11.42578125" style="79" customWidth="1"/>
    <col min="7927" max="7927" width="7.5703125" style="79" customWidth="1"/>
    <col min="7928" max="7928" width="11.7109375" style="79" customWidth="1"/>
    <col min="7929" max="7929" width="7.140625" style="79" customWidth="1"/>
    <col min="7930" max="7930" width="0" style="79" hidden="1" customWidth="1"/>
    <col min="7931" max="7932" width="19.140625" style="79" customWidth="1"/>
    <col min="7933" max="7933" width="20.42578125" style="79" customWidth="1"/>
    <col min="7934" max="7934" width="20.85546875" style="79" customWidth="1"/>
    <col min="7935" max="7936" width="22" style="79" customWidth="1"/>
    <col min="7937" max="7937" width="0" style="79" hidden="1" customWidth="1"/>
    <col min="7938" max="7938" width="27.28515625" style="79" customWidth="1"/>
    <col min="7939" max="7939" width="18.140625" style="79" bestFit="1" customWidth="1"/>
    <col min="7940" max="7940" width="11.42578125" style="79" bestFit="1" customWidth="1"/>
    <col min="7941" max="7941" width="11.5703125" style="79" bestFit="1" customWidth="1"/>
    <col min="7942" max="8177" width="9.140625" style="79"/>
    <col min="8178" max="8178" width="0" style="79" hidden="1" customWidth="1"/>
    <col min="8179" max="8179" width="21.7109375" style="79" customWidth="1"/>
    <col min="8180" max="8180" width="48.140625" style="79" customWidth="1"/>
    <col min="8181" max="8181" width="29.7109375" style="79" customWidth="1"/>
    <col min="8182" max="8182" width="11.42578125" style="79" customWidth="1"/>
    <col min="8183" max="8183" width="7.5703125" style="79" customWidth="1"/>
    <col min="8184" max="8184" width="11.7109375" style="79" customWidth="1"/>
    <col min="8185" max="8185" width="7.140625" style="79" customWidth="1"/>
    <col min="8186" max="8186" width="0" style="79" hidden="1" customWidth="1"/>
    <col min="8187" max="8188" width="19.140625" style="79" customWidth="1"/>
    <col min="8189" max="8189" width="20.42578125" style="79" customWidth="1"/>
    <col min="8190" max="8190" width="20.85546875" style="79" customWidth="1"/>
    <col min="8191" max="8192" width="22" style="79" customWidth="1"/>
    <col min="8193" max="8193" width="0" style="79" hidden="1" customWidth="1"/>
    <col min="8194" max="8194" width="27.28515625" style="79" customWidth="1"/>
    <col min="8195" max="8195" width="18.140625" style="79" bestFit="1" customWidth="1"/>
    <col min="8196" max="8196" width="11.42578125" style="79" bestFit="1" customWidth="1"/>
    <col min="8197" max="8197" width="11.5703125" style="79" bestFit="1" customWidth="1"/>
    <col min="8198" max="8433" width="9.140625" style="79"/>
    <col min="8434" max="8434" width="0" style="79" hidden="1" customWidth="1"/>
    <col min="8435" max="8435" width="21.7109375" style="79" customWidth="1"/>
    <col min="8436" max="8436" width="48.140625" style="79" customWidth="1"/>
    <col min="8437" max="8437" width="29.7109375" style="79" customWidth="1"/>
    <col min="8438" max="8438" width="11.42578125" style="79" customWidth="1"/>
    <col min="8439" max="8439" width="7.5703125" style="79" customWidth="1"/>
    <col min="8440" max="8440" width="11.7109375" style="79" customWidth="1"/>
    <col min="8441" max="8441" width="7.140625" style="79" customWidth="1"/>
    <col min="8442" max="8442" width="0" style="79" hidden="1" customWidth="1"/>
    <col min="8443" max="8444" width="19.140625" style="79" customWidth="1"/>
    <col min="8445" max="8445" width="20.42578125" style="79" customWidth="1"/>
    <col min="8446" max="8446" width="20.85546875" style="79" customWidth="1"/>
    <col min="8447" max="8448" width="22" style="79" customWidth="1"/>
    <col min="8449" max="8449" width="0" style="79" hidden="1" customWidth="1"/>
    <col min="8450" max="8450" width="27.28515625" style="79" customWidth="1"/>
    <col min="8451" max="8451" width="18.140625" style="79" bestFit="1" customWidth="1"/>
    <col min="8452" max="8452" width="11.42578125" style="79" bestFit="1" customWidth="1"/>
    <col min="8453" max="8453" width="11.5703125" style="79" bestFit="1" customWidth="1"/>
    <col min="8454" max="8689" width="9.140625" style="79"/>
    <col min="8690" max="8690" width="0" style="79" hidden="1" customWidth="1"/>
    <col min="8691" max="8691" width="21.7109375" style="79" customWidth="1"/>
    <col min="8692" max="8692" width="48.140625" style="79" customWidth="1"/>
    <col min="8693" max="8693" width="29.7109375" style="79" customWidth="1"/>
    <col min="8694" max="8694" width="11.42578125" style="79" customWidth="1"/>
    <col min="8695" max="8695" width="7.5703125" style="79" customWidth="1"/>
    <col min="8696" max="8696" width="11.7109375" style="79" customWidth="1"/>
    <col min="8697" max="8697" width="7.140625" style="79" customWidth="1"/>
    <col min="8698" max="8698" width="0" style="79" hidden="1" customWidth="1"/>
    <col min="8699" max="8700" width="19.140625" style="79" customWidth="1"/>
    <col min="8701" max="8701" width="20.42578125" style="79" customWidth="1"/>
    <col min="8702" max="8702" width="20.85546875" style="79" customWidth="1"/>
    <col min="8703" max="8704" width="22" style="79" customWidth="1"/>
    <col min="8705" max="8705" width="0" style="79" hidden="1" customWidth="1"/>
    <col min="8706" max="8706" width="27.28515625" style="79" customWidth="1"/>
    <col min="8707" max="8707" width="18.140625" style="79" bestFit="1" customWidth="1"/>
    <col min="8708" max="8708" width="11.42578125" style="79" bestFit="1" customWidth="1"/>
    <col min="8709" max="8709" width="11.5703125" style="79" bestFit="1" customWidth="1"/>
    <col min="8710" max="8945" width="9.140625" style="79"/>
    <col min="8946" max="8946" width="0" style="79" hidden="1" customWidth="1"/>
    <col min="8947" max="8947" width="21.7109375" style="79" customWidth="1"/>
    <col min="8948" max="8948" width="48.140625" style="79" customWidth="1"/>
    <col min="8949" max="8949" width="29.7109375" style="79" customWidth="1"/>
    <col min="8950" max="8950" width="11.42578125" style="79" customWidth="1"/>
    <col min="8951" max="8951" width="7.5703125" style="79" customWidth="1"/>
    <col min="8952" max="8952" width="11.7109375" style="79" customWidth="1"/>
    <col min="8953" max="8953" width="7.140625" style="79" customWidth="1"/>
    <col min="8954" max="8954" width="0" style="79" hidden="1" customWidth="1"/>
    <col min="8955" max="8956" width="19.140625" style="79" customWidth="1"/>
    <col min="8957" max="8957" width="20.42578125" style="79" customWidth="1"/>
    <col min="8958" max="8958" width="20.85546875" style="79" customWidth="1"/>
    <col min="8959" max="8960" width="22" style="79" customWidth="1"/>
    <col min="8961" max="8961" width="0" style="79" hidden="1" customWidth="1"/>
    <col min="8962" max="8962" width="27.28515625" style="79" customWidth="1"/>
    <col min="8963" max="8963" width="18.140625" style="79" bestFit="1" customWidth="1"/>
    <col min="8964" max="8964" width="11.42578125" style="79" bestFit="1" customWidth="1"/>
    <col min="8965" max="8965" width="11.5703125" style="79" bestFit="1" customWidth="1"/>
    <col min="8966" max="9201" width="9.140625" style="79"/>
    <col min="9202" max="9202" width="0" style="79" hidden="1" customWidth="1"/>
    <col min="9203" max="9203" width="21.7109375" style="79" customWidth="1"/>
    <col min="9204" max="9204" width="48.140625" style="79" customWidth="1"/>
    <col min="9205" max="9205" width="29.7109375" style="79" customWidth="1"/>
    <col min="9206" max="9206" width="11.42578125" style="79" customWidth="1"/>
    <col min="9207" max="9207" width="7.5703125" style="79" customWidth="1"/>
    <col min="9208" max="9208" width="11.7109375" style="79" customWidth="1"/>
    <col min="9209" max="9209" width="7.140625" style="79" customWidth="1"/>
    <col min="9210" max="9210" width="0" style="79" hidden="1" customWidth="1"/>
    <col min="9211" max="9212" width="19.140625" style="79" customWidth="1"/>
    <col min="9213" max="9213" width="20.42578125" style="79" customWidth="1"/>
    <col min="9214" max="9214" width="20.85546875" style="79" customWidth="1"/>
    <col min="9215" max="9216" width="22" style="79" customWidth="1"/>
    <col min="9217" max="9217" width="0" style="79" hidden="1" customWidth="1"/>
    <col min="9218" max="9218" width="27.28515625" style="79" customWidth="1"/>
    <col min="9219" max="9219" width="18.140625" style="79" bestFit="1" customWidth="1"/>
    <col min="9220" max="9220" width="11.42578125" style="79" bestFit="1" customWidth="1"/>
    <col min="9221" max="9221" width="11.5703125" style="79" bestFit="1" customWidth="1"/>
    <col min="9222" max="9457" width="9.140625" style="79"/>
    <col min="9458" max="9458" width="0" style="79" hidden="1" customWidth="1"/>
    <col min="9459" max="9459" width="21.7109375" style="79" customWidth="1"/>
    <col min="9460" max="9460" width="48.140625" style="79" customWidth="1"/>
    <col min="9461" max="9461" width="29.7109375" style="79" customWidth="1"/>
    <col min="9462" max="9462" width="11.42578125" style="79" customWidth="1"/>
    <col min="9463" max="9463" width="7.5703125" style="79" customWidth="1"/>
    <col min="9464" max="9464" width="11.7109375" style="79" customWidth="1"/>
    <col min="9465" max="9465" width="7.140625" style="79" customWidth="1"/>
    <col min="9466" max="9466" width="0" style="79" hidden="1" customWidth="1"/>
    <col min="9467" max="9468" width="19.140625" style="79" customWidth="1"/>
    <col min="9469" max="9469" width="20.42578125" style="79" customWidth="1"/>
    <col min="9470" max="9470" width="20.85546875" style="79" customWidth="1"/>
    <col min="9471" max="9472" width="22" style="79" customWidth="1"/>
    <col min="9473" max="9473" width="0" style="79" hidden="1" customWidth="1"/>
    <col min="9474" max="9474" width="27.28515625" style="79" customWidth="1"/>
    <col min="9475" max="9475" width="18.140625" style="79" bestFit="1" customWidth="1"/>
    <col min="9476" max="9476" width="11.42578125" style="79" bestFit="1" customWidth="1"/>
    <col min="9477" max="9477" width="11.5703125" style="79" bestFit="1" customWidth="1"/>
    <col min="9478" max="9713" width="9.140625" style="79"/>
    <col min="9714" max="9714" width="0" style="79" hidden="1" customWidth="1"/>
    <col min="9715" max="9715" width="21.7109375" style="79" customWidth="1"/>
    <col min="9716" max="9716" width="48.140625" style="79" customWidth="1"/>
    <col min="9717" max="9717" width="29.7109375" style="79" customWidth="1"/>
    <col min="9718" max="9718" width="11.42578125" style="79" customWidth="1"/>
    <col min="9719" max="9719" width="7.5703125" style="79" customWidth="1"/>
    <col min="9720" max="9720" width="11.7109375" style="79" customWidth="1"/>
    <col min="9721" max="9721" width="7.140625" style="79" customWidth="1"/>
    <col min="9722" max="9722" width="0" style="79" hidden="1" customWidth="1"/>
    <col min="9723" max="9724" width="19.140625" style="79" customWidth="1"/>
    <col min="9725" max="9725" width="20.42578125" style="79" customWidth="1"/>
    <col min="9726" max="9726" width="20.85546875" style="79" customWidth="1"/>
    <col min="9727" max="9728" width="22" style="79" customWidth="1"/>
    <col min="9729" max="9729" width="0" style="79" hidden="1" customWidth="1"/>
    <col min="9730" max="9730" width="27.28515625" style="79" customWidth="1"/>
    <col min="9731" max="9731" width="18.140625" style="79" bestFit="1" customWidth="1"/>
    <col min="9732" max="9732" width="11.42578125" style="79" bestFit="1" customWidth="1"/>
    <col min="9733" max="9733" width="11.5703125" style="79" bestFit="1" customWidth="1"/>
    <col min="9734" max="9969" width="9.140625" style="79"/>
    <col min="9970" max="9970" width="0" style="79" hidden="1" customWidth="1"/>
    <col min="9971" max="9971" width="21.7109375" style="79" customWidth="1"/>
    <col min="9972" max="9972" width="48.140625" style="79" customWidth="1"/>
    <col min="9973" max="9973" width="29.7109375" style="79" customWidth="1"/>
    <col min="9974" max="9974" width="11.42578125" style="79" customWidth="1"/>
    <col min="9975" max="9975" width="7.5703125" style="79" customWidth="1"/>
    <col min="9976" max="9976" width="11.7109375" style="79" customWidth="1"/>
    <col min="9977" max="9977" width="7.140625" style="79" customWidth="1"/>
    <col min="9978" max="9978" width="0" style="79" hidden="1" customWidth="1"/>
    <col min="9979" max="9980" width="19.140625" style="79" customWidth="1"/>
    <col min="9981" max="9981" width="20.42578125" style="79" customWidth="1"/>
    <col min="9982" max="9982" width="20.85546875" style="79" customWidth="1"/>
    <col min="9983" max="9984" width="22" style="79" customWidth="1"/>
    <col min="9985" max="9985" width="0" style="79" hidden="1" customWidth="1"/>
    <col min="9986" max="9986" width="27.28515625" style="79" customWidth="1"/>
    <col min="9987" max="9987" width="18.140625" style="79" bestFit="1" customWidth="1"/>
    <col min="9988" max="9988" width="11.42578125" style="79" bestFit="1" customWidth="1"/>
    <col min="9989" max="9989" width="11.5703125" style="79" bestFit="1" customWidth="1"/>
    <col min="9990" max="10225" width="9.140625" style="79"/>
    <col min="10226" max="10226" width="0" style="79" hidden="1" customWidth="1"/>
    <col min="10227" max="10227" width="21.7109375" style="79" customWidth="1"/>
    <col min="10228" max="10228" width="48.140625" style="79" customWidth="1"/>
    <col min="10229" max="10229" width="29.7109375" style="79" customWidth="1"/>
    <col min="10230" max="10230" width="11.42578125" style="79" customWidth="1"/>
    <col min="10231" max="10231" width="7.5703125" style="79" customWidth="1"/>
    <col min="10232" max="10232" width="11.7109375" style="79" customWidth="1"/>
    <col min="10233" max="10233" width="7.140625" style="79" customWidth="1"/>
    <col min="10234" max="10234" width="0" style="79" hidden="1" customWidth="1"/>
    <col min="10235" max="10236" width="19.140625" style="79" customWidth="1"/>
    <col min="10237" max="10237" width="20.42578125" style="79" customWidth="1"/>
    <col min="10238" max="10238" width="20.85546875" style="79" customWidth="1"/>
    <col min="10239" max="10240" width="22" style="79" customWidth="1"/>
    <col min="10241" max="10241" width="0" style="79" hidden="1" customWidth="1"/>
    <col min="10242" max="10242" width="27.28515625" style="79" customWidth="1"/>
    <col min="10243" max="10243" width="18.140625" style="79" bestFit="1" customWidth="1"/>
    <col min="10244" max="10244" width="11.42578125" style="79" bestFit="1" customWidth="1"/>
    <col min="10245" max="10245" width="11.5703125" style="79" bestFit="1" customWidth="1"/>
    <col min="10246" max="10481" width="9.140625" style="79"/>
    <col min="10482" max="10482" width="0" style="79" hidden="1" customWidth="1"/>
    <col min="10483" max="10483" width="21.7109375" style="79" customWidth="1"/>
    <col min="10484" max="10484" width="48.140625" style="79" customWidth="1"/>
    <col min="10485" max="10485" width="29.7109375" style="79" customWidth="1"/>
    <col min="10486" max="10486" width="11.42578125" style="79" customWidth="1"/>
    <col min="10487" max="10487" width="7.5703125" style="79" customWidth="1"/>
    <col min="10488" max="10488" width="11.7109375" style="79" customWidth="1"/>
    <col min="10489" max="10489" width="7.140625" style="79" customWidth="1"/>
    <col min="10490" max="10490" width="0" style="79" hidden="1" customWidth="1"/>
    <col min="10491" max="10492" width="19.140625" style="79" customWidth="1"/>
    <col min="10493" max="10493" width="20.42578125" style="79" customWidth="1"/>
    <col min="10494" max="10494" width="20.85546875" style="79" customWidth="1"/>
    <col min="10495" max="10496" width="22" style="79" customWidth="1"/>
    <col min="10497" max="10497" width="0" style="79" hidden="1" customWidth="1"/>
    <col min="10498" max="10498" width="27.28515625" style="79" customWidth="1"/>
    <col min="10499" max="10499" width="18.140625" style="79" bestFit="1" customWidth="1"/>
    <col min="10500" max="10500" width="11.42578125" style="79" bestFit="1" customWidth="1"/>
    <col min="10501" max="10501" width="11.5703125" style="79" bestFit="1" customWidth="1"/>
    <col min="10502" max="10737" width="9.140625" style="79"/>
    <col min="10738" max="10738" width="0" style="79" hidden="1" customWidth="1"/>
    <col min="10739" max="10739" width="21.7109375" style="79" customWidth="1"/>
    <col min="10740" max="10740" width="48.140625" style="79" customWidth="1"/>
    <col min="10741" max="10741" width="29.7109375" style="79" customWidth="1"/>
    <col min="10742" max="10742" width="11.42578125" style="79" customWidth="1"/>
    <col min="10743" max="10743" width="7.5703125" style="79" customWidth="1"/>
    <col min="10744" max="10744" width="11.7109375" style="79" customWidth="1"/>
    <col min="10745" max="10745" width="7.140625" style="79" customWidth="1"/>
    <col min="10746" max="10746" width="0" style="79" hidden="1" customWidth="1"/>
    <col min="10747" max="10748" width="19.140625" style="79" customWidth="1"/>
    <col min="10749" max="10749" width="20.42578125" style="79" customWidth="1"/>
    <col min="10750" max="10750" width="20.85546875" style="79" customWidth="1"/>
    <col min="10751" max="10752" width="22" style="79" customWidth="1"/>
    <col min="10753" max="10753" width="0" style="79" hidden="1" customWidth="1"/>
    <col min="10754" max="10754" width="27.28515625" style="79" customWidth="1"/>
    <col min="10755" max="10755" width="18.140625" style="79" bestFit="1" customWidth="1"/>
    <col min="10756" max="10756" width="11.42578125" style="79" bestFit="1" customWidth="1"/>
    <col min="10757" max="10757" width="11.5703125" style="79" bestFit="1" customWidth="1"/>
    <col min="10758" max="10993" width="9.140625" style="79"/>
    <col min="10994" max="10994" width="0" style="79" hidden="1" customWidth="1"/>
    <col min="10995" max="10995" width="21.7109375" style="79" customWidth="1"/>
    <col min="10996" max="10996" width="48.140625" style="79" customWidth="1"/>
    <col min="10997" max="10997" width="29.7109375" style="79" customWidth="1"/>
    <col min="10998" max="10998" width="11.42578125" style="79" customWidth="1"/>
    <col min="10999" max="10999" width="7.5703125" style="79" customWidth="1"/>
    <col min="11000" max="11000" width="11.7109375" style="79" customWidth="1"/>
    <col min="11001" max="11001" width="7.140625" style="79" customWidth="1"/>
    <col min="11002" max="11002" width="0" style="79" hidden="1" customWidth="1"/>
    <col min="11003" max="11004" width="19.140625" style="79" customWidth="1"/>
    <col min="11005" max="11005" width="20.42578125" style="79" customWidth="1"/>
    <col min="11006" max="11006" width="20.85546875" style="79" customWidth="1"/>
    <col min="11007" max="11008" width="22" style="79" customWidth="1"/>
    <col min="11009" max="11009" width="0" style="79" hidden="1" customWidth="1"/>
    <col min="11010" max="11010" width="27.28515625" style="79" customWidth="1"/>
    <col min="11011" max="11011" width="18.140625" style="79" bestFit="1" customWidth="1"/>
    <col min="11012" max="11012" width="11.42578125" style="79" bestFit="1" customWidth="1"/>
    <col min="11013" max="11013" width="11.5703125" style="79" bestFit="1" customWidth="1"/>
    <col min="11014" max="11249" width="9.140625" style="79"/>
    <col min="11250" max="11250" width="0" style="79" hidden="1" customWidth="1"/>
    <col min="11251" max="11251" width="21.7109375" style="79" customWidth="1"/>
    <col min="11252" max="11252" width="48.140625" style="79" customWidth="1"/>
    <col min="11253" max="11253" width="29.7109375" style="79" customWidth="1"/>
    <col min="11254" max="11254" width="11.42578125" style="79" customWidth="1"/>
    <col min="11255" max="11255" width="7.5703125" style="79" customWidth="1"/>
    <col min="11256" max="11256" width="11.7109375" style="79" customWidth="1"/>
    <col min="11257" max="11257" width="7.140625" style="79" customWidth="1"/>
    <col min="11258" max="11258" width="0" style="79" hidden="1" customWidth="1"/>
    <col min="11259" max="11260" width="19.140625" style="79" customWidth="1"/>
    <col min="11261" max="11261" width="20.42578125" style="79" customWidth="1"/>
    <col min="11262" max="11262" width="20.85546875" style="79" customWidth="1"/>
    <col min="11263" max="11264" width="22" style="79" customWidth="1"/>
    <col min="11265" max="11265" width="0" style="79" hidden="1" customWidth="1"/>
    <col min="11266" max="11266" width="27.28515625" style="79" customWidth="1"/>
    <col min="11267" max="11267" width="18.140625" style="79" bestFit="1" customWidth="1"/>
    <col min="11268" max="11268" width="11.42578125" style="79" bestFit="1" customWidth="1"/>
    <col min="11269" max="11269" width="11.5703125" style="79" bestFit="1" customWidth="1"/>
    <col min="11270" max="11505" width="9.140625" style="79"/>
    <col min="11506" max="11506" width="0" style="79" hidden="1" customWidth="1"/>
    <col min="11507" max="11507" width="21.7109375" style="79" customWidth="1"/>
    <col min="11508" max="11508" width="48.140625" style="79" customWidth="1"/>
    <col min="11509" max="11509" width="29.7109375" style="79" customWidth="1"/>
    <col min="11510" max="11510" width="11.42578125" style="79" customWidth="1"/>
    <col min="11511" max="11511" width="7.5703125" style="79" customWidth="1"/>
    <col min="11512" max="11512" width="11.7109375" style="79" customWidth="1"/>
    <col min="11513" max="11513" width="7.140625" style="79" customWidth="1"/>
    <col min="11514" max="11514" width="0" style="79" hidden="1" customWidth="1"/>
    <col min="11515" max="11516" width="19.140625" style="79" customWidth="1"/>
    <col min="11517" max="11517" width="20.42578125" style="79" customWidth="1"/>
    <col min="11518" max="11518" width="20.85546875" style="79" customWidth="1"/>
    <col min="11519" max="11520" width="22" style="79" customWidth="1"/>
    <col min="11521" max="11521" width="0" style="79" hidden="1" customWidth="1"/>
    <col min="11522" max="11522" width="27.28515625" style="79" customWidth="1"/>
    <col min="11523" max="11523" width="18.140625" style="79" bestFit="1" customWidth="1"/>
    <col min="11524" max="11524" width="11.42578125" style="79" bestFit="1" customWidth="1"/>
    <col min="11525" max="11525" width="11.5703125" style="79" bestFit="1" customWidth="1"/>
    <col min="11526" max="11761" width="9.140625" style="79"/>
    <col min="11762" max="11762" width="0" style="79" hidden="1" customWidth="1"/>
    <col min="11763" max="11763" width="21.7109375" style="79" customWidth="1"/>
    <col min="11764" max="11764" width="48.140625" style="79" customWidth="1"/>
    <col min="11765" max="11765" width="29.7109375" style="79" customWidth="1"/>
    <col min="11766" max="11766" width="11.42578125" style="79" customWidth="1"/>
    <col min="11767" max="11767" width="7.5703125" style="79" customWidth="1"/>
    <col min="11768" max="11768" width="11.7109375" style="79" customWidth="1"/>
    <col min="11769" max="11769" width="7.140625" style="79" customWidth="1"/>
    <col min="11770" max="11770" width="0" style="79" hidden="1" customWidth="1"/>
    <col min="11771" max="11772" width="19.140625" style="79" customWidth="1"/>
    <col min="11773" max="11773" width="20.42578125" style="79" customWidth="1"/>
    <col min="11774" max="11774" width="20.85546875" style="79" customWidth="1"/>
    <col min="11775" max="11776" width="22" style="79" customWidth="1"/>
    <col min="11777" max="11777" width="0" style="79" hidden="1" customWidth="1"/>
    <col min="11778" max="11778" width="27.28515625" style="79" customWidth="1"/>
    <col min="11779" max="11779" width="18.140625" style="79" bestFit="1" customWidth="1"/>
    <col min="11780" max="11780" width="11.42578125" style="79" bestFit="1" customWidth="1"/>
    <col min="11781" max="11781" width="11.5703125" style="79" bestFit="1" customWidth="1"/>
    <col min="11782" max="12017" width="9.140625" style="79"/>
    <col min="12018" max="12018" width="0" style="79" hidden="1" customWidth="1"/>
    <col min="12019" max="12019" width="21.7109375" style="79" customWidth="1"/>
    <col min="12020" max="12020" width="48.140625" style="79" customWidth="1"/>
    <col min="12021" max="12021" width="29.7109375" style="79" customWidth="1"/>
    <col min="12022" max="12022" width="11.42578125" style="79" customWidth="1"/>
    <col min="12023" max="12023" width="7.5703125" style="79" customWidth="1"/>
    <col min="12024" max="12024" width="11.7109375" style="79" customWidth="1"/>
    <col min="12025" max="12025" width="7.140625" style="79" customWidth="1"/>
    <col min="12026" max="12026" width="0" style="79" hidden="1" customWidth="1"/>
    <col min="12027" max="12028" width="19.140625" style="79" customWidth="1"/>
    <col min="12029" max="12029" width="20.42578125" style="79" customWidth="1"/>
    <col min="12030" max="12030" width="20.85546875" style="79" customWidth="1"/>
    <col min="12031" max="12032" width="22" style="79" customWidth="1"/>
    <col min="12033" max="12033" width="0" style="79" hidden="1" customWidth="1"/>
    <col min="12034" max="12034" width="27.28515625" style="79" customWidth="1"/>
    <col min="12035" max="12035" width="18.140625" style="79" bestFit="1" customWidth="1"/>
    <col min="12036" max="12036" width="11.42578125" style="79" bestFit="1" customWidth="1"/>
    <col min="12037" max="12037" width="11.5703125" style="79" bestFit="1" customWidth="1"/>
    <col min="12038" max="12273" width="9.140625" style="79"/>
    <col min="12274" max="12274" width="0" style="79" hidden="1" customWidth="1"/>
    <col min="12275" max="12275" width="21.7109375" style="79" customWidth="1"/>
    <col min="12276" max="12276" width="48.140625" style="79" customWidth="1"/>
    <col min="12277" max="12277" width="29.7109375" style="79" customWidth="1"/>
    <col min="12278" max="12278" width="11.42578125" style="79" customWidth="1"/>
    <col min="12279" max="12279" width="7.5703125" style="79" customWidth="1"/>
    <col min="12280" max="12280" width="11.7109375" style="79" customWidth="1"/>
    <col min="12281" max="12281" width="7.140625" style="79" customWidth="1"/>
    <col min="12282" max="12282" width="0" style="79" hidden="1" customWidth="1"/>
    <col min="12283" max="12284" width="19.140625" style="79" customWidth="1"/>
    <col min="12285" max="12285" width="20.42578125" style="79" customWidth="1"/>
    <col min="12286" max="12286" width="20.85546875" style="79" customWidth="1"/>
    <col min="12287" max="12288" width="22" style="79" customWidth="1"/>
    <col min="12289" max="12289" width="0" style="79" hidden="1" customWidth="1"/>
    <col min="12290" max="12290" width="27.28515625" style="79" customWidth="1"/>
    <col min="12291" max="12291" width="18.140625" style="79" bestFit="1" customWidth="1"/>
    <col min="12292" max="12292" width="11.42578125" style="79" bestFit="1" customWidth="1"/>
    <col min="12293" max="12293" width="11.5703125" style="79" bestFit="1" customWidth="1"/>
    <col min="12294" max="12529" width="9.140625" style="79"/>
    <col min="12530" max="12530" width="0" style="79" hidden="1" customWidth="1"/>
    <col min="12531" max="12531" width="21.7109375" style="79" customWidth="1"/>
    <col min="12532" max="12532" width="48.140625" style="79" customWidth="1"/>
    <col min="12533" max="12533" width="29.7109375" style="79" customWidth="1"/>
    <col min="12534" max="12534" width="11.42578125" style="79" customWidth="1"/>
    <col min="12535" max="12535" width="7.5703125" style="79" customWidth="1"/>
    <col min="12536" max="12536" width="11.7109375" style="79" customWidth="1"/>
    <col min="12537" max="12537" width="7.140625" style="79" customWidth="1"/>
    <col min="12538" max="12538" width="0" style="79" hidden="1" customWidth="1"/>
    <col min="12539" max="12540" width="19.140625" style="79" customWidth="1"/>
    <col min="12541" max="12541" width="20.42578125" style="79" customWidth="1"/>
    <col min="12542" max="12542" width="20.85546875" style="79" customWidth="1"/>
    <col min="12543" max="12544" width="22" style="79" customWidth="1"/>
    <col min="12545" max="12545" width="0" style="79" hidden="1" customWidth="1"/>
    <col min="12546" max="12546" width="27.28515625" style="79" customWidth="1"/>
    <col min="12547" max="12547" width="18.140625" style="79" bestFit="1" customWidth="1"/>
    <col min="12548" max="12548" width="11.42578125" style="79" bestFit="1" customWidth="1"/>
    <col min="12549" max="12549" width="11.5703125" style="79" bestFit="1" customWidth="1"/>
    <col min="12550" max="12785" width="9.140625" style="79"/>
    <col min="12786" max="12786" width="0" style="79" hidden="1" customWidth="1"/>
    <col min="12787" max="12787" width="21.7109375" style="79" customWidth="1"/>
    <col min="12788" max="12788" width="48.140625" style="79" customWidth="1"/>
    <col min="12789" max="12789" width="29.7109375" style="79" customWidth="1"/>
    <col min="12790" max="12790" width="11.42578125" style="79" customWidth="1"/>
    <col min="12791" max="12791" width="7.5703125" style="79" customWidth="1"/>
    <col min="12792" max="12792" width="11.7109375" style="79" customWidth="1"/>
    <col min="12793" max="12793" width="7.140625" style="79" customWidth="1"/>
    <col min="12794" max="12794" width="0" style="79" hidden="1" customWidth="1"/>
    <col min="12795" max="12796" width="19.140625" style="79" customWidth="1"/>
    <col min="12797" max="12797" width="20.42578125" style="79" customWidth="1"/>
    <col min="12798" max="12798" width="20.85546875" style="79" customWidth="1"/>
    <col min="12799" max="12800" width="22" style="79" customWidth="1"/>
    <col min="12801" max="12801" width="0" style="79" hidden="1" customWidth="1"/>
    <col min="12802" max="12802" width="27.28515625" style="79" customWidth="1"/>
    <col min="12803" max="12803" width="18.140625" style="79" bestFit="1" customWidth="1"/>
    <col min="12804" max="12804" width="11.42578125" style="79" bestFit="1" customWidth="1"/>
    <col min="12805" max="12805" width="11.5703125" style="79" bestFit="1" customWidth="1"/>
    <col min="12806" max="13041" width="9.140625" style="79"/>
    <col min="13042" max="13042" width="0" style="79" hidden="1" customWidth="1"/>
    <col min="13043" max="13043" width="21.7109375" style="79" customWidth="1"/>
    <col min="13044" max="13044" width="48.140625" style="79" customWidth="1"/>
    <col min="13045" max="13045" width="29.7109375" style="79" customWidth="1"/>
    <col min="13046" max="13046" width="11.42578125" style="79" customWidth="1"/>
    <col min="13047" max="13047" width="7.5703125" style="79" customWidth="1"/>
    <col min="13048" max="13048" width="11.7109375" style="79" customWidth="1"/>
    <col min="13049" max="13049" width="7.140625" style="79" customWidth="1"/>
    <col min="13050" max="13050" width="0" style="79" hidden="1" customWidth="1"/>
    <col min="13051" max="13052" width="19.140625" style="79" customWidth="1"/>
    <col min="13053" max="13053" width="20.42578125" style="79" customWidth="1"/>
    <col min="13054" max="13054" width="20.85546875" style="79" customWidth="1"/>
    <col min="13055" max="13056" width="22" style="79" customWidth="1"/>
    <col min="13057" max="13057" width="0" style="79" hidden="1" customWidth="1"/>
    <col min="13058" max="13058" width="27.28515625" style="79" customWidth="1"/>
    <col min="13059" max="13059" width="18.140625" style="79" bestFit="1" customWidth="1"/>
    <col min="13060" max="13060" width="11.42578125" style="79" bestFit="1" customWidth="1"/>
    <col min="13061" max="13061" width="11.5703125" style="79" bestFit="1" customWidth="1"/>
    <col min="13062" max="13297" width="9.140625" style="79"/>
    <col min="13298" max="13298" width="0" style="79" hidden="1" customWidth="1"/>
    <col min="13299" max="13299" width="21.7109375" style="79" customWidth="1"/>
    <col min="13300" max="13300" width="48.140625" style="79" customWidth="1"/>
    <col min="13301" max="13301" width="29.7109375" style="79" customWidth="1"/>
    <col min="13302" max="13302" width="11.42578125" style="79" customWidth="1"/>
    <col min="13303" max="13303" width="7.5703125" style="79" customWidth="1"/>
    <col min="13304" max="13304" width="11.7109375" style="79" customWidth="1"/>
    <col min="13305" max="13305" width="7.140625" style="79" customWidth="1"/>
    <col min="13306" max="13306" width="0" style="79" hidden="1" customWidth="1"/>
    <col min="13307" max="13308" width="19.140625" style="79" customWidth="1"/>
    <col min="13309" max="13309" width="20.42578125" style="79" customWidth="1"/>
    <col min="13310" max="13310" width="20.85546875" style="79" customWidth="1"/>
    <col min="13311" max="13312" width="22" style="79" customWidth="1"/>
    <col min="13313" max="13313" width="0" style="79" hidden="1" customWidth="1"/>
    <col min="13314" max="13314" width="27.28515625" style="79" customWidth="1"/>
    <col min="13315" max="13315" width="18.140625" style="79" bestFit="1" customWidth="1"/>
    <col min="13316" max="13316" width="11.42578125" style="79" bestFit="1" customWidth="1"/>
    <col min="13317" max="13317" width="11.5703125" style="79" bestFit="1" customWidth="1"/>
    <col min="13318" max="13553" width="9.140625" style="79"/>
    <col min="13554" max="13554" width="0" style="79" hidden="1" customWidth="1"/>
    <col min="13555" max="13555" width="21.7109375" style="79" customWidth="1"/>
    <col min="13556" max="13556" width="48.140625" style="79" customWidth="1"/>
    <col min="13557" max="13557" width="29.7109375" style="79" customWidth="1"/>
    <col min="13558" max="13558" width="11.42578125" style="79" customWidth="1"/>
    <col min="13559" max="13559" width="7.5703125" style="79" customWidth="1"/>
    <col min="13560" max="13560" width="11.7109375" style="79" customWidth="1"/>
    <col min="13561" max="13561" width="7.140625" style="79" customWidth="1"/>
    <col min="13562" max="13562" width="0" style="79" hidden="1" customWidth="1"/>
    <col min="13563" max="13564" width="19.140625" style="79" customWidth="1"/>
    <col min="13565" max="13565" width="20.42578125" style="79" customWidth="1"/>
    <col min="13566" max="13566" width="20.85546875" style="79" customWidth="1"/>
    <col min="13567" max="13568" width="22" style="79" customWidth="1"/>
    <col min="13569" max="13569" width="0" style="79" hidden="1" customWidth="1"/>
    <col min="13570" max="13570" width="27.28515625" style="79" customWidth="1"/>
    <col min="13571" max="13571" width="18.140625" style="79" bestFit="1" customWidth="1"/>
    <col min="13572" max="13572" width="11.42578125" style="79" bestFit="1" customWidth="1"/>
    <col min="13573" max="13573" width="11.5703125" style="79" bestFit="1" customWidth="1"/>
    <col min="13574" max="13809" width="9.140625" style="79"/>
    <col min="13810" max="13810" width="0" style="79" hidden="1" customWidth="1"/>
    <col min="13811" max="13811" width="21.7109375" style="79" customWidth="1"/>
    <col min="13812" max="13812" width="48.140625" style="79" customWidth="1"/>
    <col min="13813" max="13813" width="29.7109375" style="79" customWidth="1"/>
    <col min="13814" max="13814" width="11.42578125" style="79" customWidth="1"/>
    <col min="13815" max="13815" width="7.5703125" style="79" customWidth="1"/>
    <col min="13816" max="13816" width="11.7109375" style="79" customWidth="1"/>
    <col min="13817" max="13817" width="7.140625" style="79" customWidth="1"/>
    <col min="13818" max="13818" width="0" style="79" hidden="1" customWidth="1"/>
    <col min="13819" max="13820" width="19.140625" style="79" customWidth="1"/>
    <col min="13821" max="13821" width="20.42578125" style="79" customWidth="1"/>
    <col min="13822" max="13822" width="20.85546875" style="79" customWidth="1"/>
    <col min="13823" max="13824" width="22" style="79" customWidth="1"/>
    <col min="13825" max="13825" width="0" style="79" hidden="1" customWidth="1"/>
    <col min="13826" max="13826" width="27.28515625" style="79" customWidth="1"/>
    <col min="13827" max="13827" width="18.140625" style="79" bestFit="1" customWidth="1"/>
    <col min="13828" max="13828" width="11.42578125" style="79" bestFit="1" customWidth="1"/>
    <col min="13829" max="13829" width="11.5703125" style="79" bestFit="1" customWidth="1"/>
    <col min="13830" max="14065" width="9.140625" style="79"/>
    <col min="14066" max="14066" width="0" style="79" hidden="1" customWidth="1"/>
    <col min="14067" max="14067" width="21.7109375" style="79" customWidth="1"/>
    <col min="14068" max="14068" width="48.140625" style="79" customWidth="1"/>
    <col min="14069" max="14069" width="29.7109375" style="79" customWidth="1"/>
    <col min="14070" max="14070" width="11.42578125" style="79" customWidth="1"/>
    <col min="14071" max="14071" width="7.5703125" style="79" customWidth="1"/>
    <col min="14072" max="14072" width="11.7109375" style="79" customWidth="1"/>
    <col min="14073" max="14073" width="7.140625" style="79" customWidth="1"/>
    <col min="14074" max="14074" width="0" style="79" hidden="1" customWidth="1"/>
    <col min="14075" max="14076" width="19.140625" style="79" customWidth="1"/>
    <col min="14077" max="14077" width="20.42578125" style="79" customWidth="1"/>
    <col min="14078" max="14078" width="20.85546875" style="79" customWidth="1"/>
    <col min="14079" max="14080" width="22" style="79" customWidth="1"/>
    <col min="14081" max="14081" width="0" style="79" hidden="1" customWidth="1"/>
    <col min="14082" max="14082" width="27.28515625" style="79" customWidth="1"/>
    <col min="14083" max="14083" width="18.140625" style="79" bestFit="1" customWidth="1"/>
    <col min="14084" max="14084" width="11.42578125" style="79" bestFit="1" customWidth="1"/>
    <col min="14085" max="14085" width="11.5703125" style="79" bestFit="1" customWidth="1"/>
    <col min="14086" max="14321" width="9.140625" style="79"/>
    <col min="14322" max="14322" width="0" style="79" hidden="1" customWidth="1"/>
    <col min="14323" max="14323" width="21.7109375" style="79" customWidth="1"/>
    <col min="14324" max="14324" width="48.140625" style="79" customWidth="1"/>
    <col min="14325" max="14325" width="29.7109375" style="79" customWidth="1"/>
    <col min="14326" max="14326" width="11.42578125" style="79" customWidth="1"/>
    <col min="14327" max="14327" width="7.5703125" style="79" customWidth="1"/>
    <col min="14328" max="14328" width="11.7109375" style="79" customWidth="1"/>
    <col min="14329" max="14329" width="7.140625" style="79" customWidth="1"/>
    <col min="14330" max="14330" width="0" style="79" hidden="1" customWidth="1"/>
    <col min="14331" max="14332" width="19.140625" style="79" customWidth="1"/>
    <col min="14333" max="14333" width="20.42578125" style="79" customWidth="1"/>
    <col min="14334" max="14334" width="20.85546875" style="79" customWidth="1"/>
    <col min="14335" max="14336" width="22" style="79" customWidth="1"/>
    <col min="14337" max="14337" width="0" style="79" hidden="1" customWidth="1"/>
    <col min="14338" max="14338" width="27.28515625" style="79" customWidth="1"/>
    <col min="14339" max="14339" width="18.140625" style="79" bestFit="1" customWidth="1"/>
    <col min="14340" max="14340" width="11.42578125" style="79" bestFit="1" customWidth="1"/>
    <col min="14341" max="14341" width="11.5703125" style="79" bestFit="1" customWidth="1"/>
    <col min="14342" max="14577" width="9.140625" style="79"/>
    <col min="14578" max="14578" width="0" style="79" hidden="1" customWidth="1"/>
    <col min="14579" max="14579" width="21.7109375" style="79" customWidth="1"/>
    <col min="14580" max="14580" width="48.140625" style="79" customWidth="1"/>
    <col min="14581" max="14581" width="29.7109375" style="79" customWidth="1"/>
    <col min="14582" max="14582" width="11.42578125" style="79" customWidth="1"/>
    <col min="14583" max="14583" width="7.5703125" style="79" customWidth="1"/>
    <col min="14584" max="14584" width="11.7109375" style="79" customWidth="1"/>
    <col min="14585" max="14585" width="7.140625" style="79" customWidth="1"/>
    <col min="14586" max="14586" width="0" style="79" hidden="1" customWidth="1"/>
    <col min="14587" max="14588" width="19.140625" style="79" customWidth="1"/>
    <col min="14589" max="14589" width="20.42578125" style="79" customWidth="1"/>
    <col min="14590" max="14590" width="20.85546875" style="79" customWidth="1"/>
    <col min="14591" max="14592" width="22" style="79" customWidth="1"/>
    <col min="14593" max="14593" width="0" style="79" hidden="1" customWidth="1"/>
    <col min="14594" max="14594" width="27.28515625" style="79" customWidth="1"/>
    <col min="14595" max="14595" width="18.140625" style="79" bestFit="1" customWidth="1"/>
    <col min="14596" max="14596" width="11.42578125" style="79" bestFit="1" customWidth="1"/>
    <col min="14597" max="14597" width="11.5703125" style="79" bestFit="1" customWidth="1"/>
    <col min="14598" max="14833" width="9.140625" style="79"/>
    <col min="14834" max="14834" width="0" style="79" hidden="1" customWidth="1"/>
    <col min="14835" max="14835" width="21.7109375" style="79" customWidth="1"/>
    <col min="14836" max="14836" width="48.140625" style="79" customWidth="1"/>
    <col min="14837" max="14837" width="29.7109375" style="79" customWidth="1"/>
    <col min="14838" max="14838" width="11.42578125" style="79" customWidth="1"/>
    <col min="14839" max="14839" width="7.5703125" style="79" customWidth="1"/>
    <col min="14840" max="14840" width="11.7109375" style="79" customWidth="1"/>
    <col min="14841" max="14841" width="7.140625" style="79" customWidth="1"/>
    <col min="14842" max="14842" width="0" style="79" hidden="1" customWidth="1"/>
    <col min="14843" max="14844" width="19.140625" style="79" customWidth="1"/>
    <col min="14845" max="14845" width="20.42578125" style="79" customWidth="1"/>
    <col min="14846" max="14846" width="20.85546875" style="79" customWidth="1"/>
    <col min="14847" max="14848" width="22" style="79" customWidth="1"/>
    <col min="14849" max="14849" width="0" style="79" hidden="1" customWidth="1"/>
    <col min="14850" max="14850" width="27.28515625" style="79" customWidth="1"/>
    <col min="14851" max="14851" width="18.140625" style="79" bestFit="1" customWidth="1"/>
    <col min="14852" max="14852" width="11.42578125" style="79" bestFit="1" customWidth="1"/>
    <col min="14853" max="14853" width="11.5703125" style="79" bestFit="1" customWidth="1"/>
    <col min="14854" max="15089" width="9.140625" style="79"/>
    <col min="15090" max="15090" width="0" style="79" hidden="1" customWidth="1"/>
    <col min="15091" max="15091" width="21.7109375" style="79" customWidth="1"/>
    <col min="15092" max="15092" width="48.140625" style="79" customWidth="1"/>
    <col min="15093" max="15093" width="29.7109375" style="79" customWidth="1"/>
    <col min="15094" max="15094" width="11.42578125" style="79" customWidth="1"/>
    <col min="15095" max="15095" width="7.5703125" style="79" customWidth="1"/>
    <col min="15096" max="15096" width="11.7109375" style="79" customWidth="1"/>
    <col min="15097" max="15097" width="7.140625" style="79" customWidth="1"/>
    <col min="15098" max="15098" width="0" style="79" hidden="1" customWidth="1"/>
    <col min="15099" max="15100" width="19.140625" style="79" customWidth="1"/>
    <col min="15101" max="15101" width="20.42578125" style="79" customWidth="1"/>
    <col min="15102" max="15102" width="20.85546875" style="79" customWidth="1"/>
    <col min="15103" max="15104" width="22" style="79" customWidth="1"/>
    <col min="15105" max="15105" width="0" style="79" hidden="1" customWidth="1"/>
    <col min="15106" max="15106" width="27.28515625" style="79" customWidth="1"/>
    <col min="15107" max="15107" width="18.140625" style="79" bestFit="1" customWidth="1"/>
    <col min="15108" max="15108" width="11.42578125" style="79" bestFit="1" customWidth="1"/>
    <col min="15109" max="15109" width="11.5703125" style="79" bestFit="1" customWidth="1"/>
    <col min="15110" max="15345" width="9.140625" style="79"/>
    <col min="15346" max="15346" width="0" style="79" hidden="1" customWidth="1"/>
    <col min="15347" max="15347" width="21.7109375" style="79" customWidth="1"/>
    <col min="15348" max="15348" width="48.140625" style="79" customWidth="1"/>
    <col min="15349" max="15349" width="29.7109375" style="79" customWidth="1"/>
    <col min="15350" max="15350" width="11.42578125" style="79" customWidth="1"/>
    <col min="15351" max="15351" width="7.5703125" style="79" customWidth="1"/>
    <col min="15352" max="15352" width="11.7109375" style="79" customWidth="1"/>
    <col min="15353" max="15353" width="7.140625" style="79" customWidth="1"/>
    <col min="15354" max="15354" width="0" style="79" hidden="1" customWidth="1"/>
    <col min="15355" max="15356" width="19.140625" style="79" customWidth="1"/>
    <col min="15357" max="15357" width="20.42578125" style="79" customWidth="1"/>
    <col min="15358" max="15358" width="20.85546875" style="79" customWidth="1"/>
    <col min="15359" max="15360" width="22" style="79" customWidth="1"/>
    <col min="15361" max="15361" width="0" style="79" hidden="1" customWidth="1"/>
    <col min="15362" max="15362" width="27.28515625" style="79" customWidth="1"/>
    <col min="15363" max="15363" width="18.140625" style="79" bestFit="1" customWidth="1"/>
    <col min="15364" max="15364" width="11.42578125" style="79" bestFit="1" customWidth="1"/>
    <col min="15365" max="15365" width="11.5703125" style="79" bestFit="1" customWidth="1"/>
    <col min="15366" max="15601" width="9.140625" style="79"/>
    <col min="15602" max="15602" width="0" style="79" hidden="1" customWidth="1"/>
    <col min="15603" max="15603" width="21.7109375" style="79" customWidth="1"/>
    <col min="15604" max="15604" width="48.140625" style="79" customWidth="1"/>
    <col min="15605" max="15605" width="29.7109375" style="79" customWidth="1"/>
    <col min="15606" max="15606" width="11.42578125" style="79" customWidth="1"/>
    <col min="15607" max="15607" width="7.5703125" style="79" customWidth="1"/>
    <col min="15608" max="15608" width="11.7109375" style="79" customWidth="1"/>
    <col min="15609" max="15609" width="7.140625" style="79" customWidth="1"/>
    <col min="15610" max="15610" width="0" style="79" hidden="1" customWidth="1"/>
    <col min="15611" max="15612" width="19.140625" style="79" customWidth="1"/>
    <col min="15613" max="15613" width="20.42578125" style="79" customWidth="1"/>
    <col min="15614" max="15614" width="20.85546875" style="79" customWidth="1"/>
    <col min="15615" max="15616" width="22" style="79" customWidth="1"/>
    <col min="15617" max="15617" width="0" style="79" hidden="1" customWidth="1"/>
    <col min="15618" max="15618" width="27.28515625" style="79" customWidth="1"/>
    <col min="15619" max="15619" width="18.140625" style="79" bestFit="1" customWidth="1"/>
    <col min="15620" max="15620" width="11.42578125" style="79" bestFit="1" customWidth="1"/>
    <col min="15621" max="15621" width="11.5703125" style="79" bestFit="1" customWidth="1"/>
    <col min="15622" max="15857" width="9.140625" style="79"/>
    <col min="15858" max="15858" width="0" style="79" hidden="1" customWidth="1"/>
    <col min="15859" max="15859" width="21.7109375" style="79" customWidth="1"/>
    <col min="15860" max="15860" width="48.140625" style="79" customWidth="1"/>
    <col min="15861" max="15861" width="29.7109375" style="79" customWidth="1"/>
    <col min="15862" max="15862" width="11.42578125" style="79" customWidth="1"/>
    <col min="15863" max="15863" width="7.5703125" style="79" customWidth="1"/>
    <col min="15864" max="15864" width="11.7109375" style="79" customWidth="1"/>
    <col min="15865" max="15865" width="7.140625" style="79" customWidth="1"/>
    <col min="15866" max="15866" width="0" style="79" hidden="1" customWidth="1"/>
    <col min="15867" max="15868" width="19.140625" style="79" customWidth="1"/>
    <col min="15869" max="15869" width="20.42578125" style="79" customWidth="1"/>
    <col min="15870" max="15870" width="20.85546875" style="79" customWidth="1"/>
    <col min="15871" max="15872" width="22" style="79" customWidth="1"/>
    <col min="15873" max="15873" width="0" style="79" hidden="1" customWidth="1"/>
    <col min="15874" max="15874" width="27.28515625" style="79" customWidth="1"/>
    <col min="15875" max="15875" width="18.140625" style="79" bestFit="1" customWidth="1"/>
    <col min="15876" max="15876" width="11.42578125" style="79" bestFit="1" customWidth="1"/>
    <col min="15877" max="15877" width="11.5703125" style="79" bestFit="1" customWidth="1"/>
    <col min="15878" max="16113" width="9.140625" style="79"/>
    <col min="16114" max="16114" width="0" style="79" hidden="1" customWidth="1"/>
    <col min="16115" max="16115" width="21.7109375" style="79" customWidth="1"/>
    <col min="16116" max="16116" width="48.140625" style="79" customWidth="1"/>
    <col min="16117" max="16117" width="29.7109375" style="79" customWidth="1"/>
    <col min="16118" max="16118" width="11.42578125" style="79" customWidth="1"/>
    <col min="16119" max="16119" width="7.5703125" style="79" customWidth="1"/>
    <col min="16120" max="16120" width="11.7109375" style="79" customWidth="1"/>
    <col min="16121" max="16121" width="7.140625" style="79" customWidth="1"/>
    <col min="16122" max="16122" width="0" style="79" hidden="1" customWidth="1"/>
    <col min="16123" max="16124" width="19.140625" style="79" customWidth="1"/>
    <col min="16125" max="16125" width="20.42578125" style="79" customWidth="1"/>
    <col min="16126" max="16126" width="20.85546875" style="79" customWidth="1"/>
    <col min="16127" max="16128" width="22" style="79" customWidth="1"/>
    <col min="16129" max="16129" width="0" style="79" hidden="1" customWidth="1"/>
    <col min="16130" max="16130" width="27.28515625" style="79" customWidth="1"/>
    <col min="16131" max="16131" width="18.140625" style="79" bestFit="1" customWidth="1"/>
    <col min="16132" max="16132" width="11.42578125" style="79" bestFit="1" customWidth="1"/>
    <col min="16133" max="16133" width="11.5703125" style="79" bestFit="1" customWidth="1"/>
    <col min="16134" max="16384" width="9.140625" style="79"/>
  </cols>
  <sheetData>
    <row r="1" spans="1:17" ht="28.5" x14ac:dyDescent="0.45">
      <c r="M1" s="80"/>
    </row>
    <row r="2" spans="1:17" s="80" customFormat="1" ht="28.5" x14ac:dyDescent="0.45">
      <c r="A2" s="113"/>
      <c r="B2" s="113"/>
      <c r="C2" s="114"/>
      <c r="D2" s="114"/>
      <c r="E2" s="115"/>
      <c r="F2" s="115"/>
      <c r="G2" s="115"/>
      <c r="H2" s="259"/>
      <c r="I2" s="260"/>
      <c r="J2" s="260"/>
      <c r="K2" s="260"/>
      <c r="L2" s="259" t="s">
        <v>268</v>
      </c>
      <c r="M2" s="260"/>
      <c r="N2" s="260"/>
      <c r="O2" s="260"/>
    </row>
    <row r="3" spans="1:17" s="80" customFormat="1" ht="28.5" x14ac:dyDescent="0.45">
      <c r="A3" s="113"/>
      <c r="B3" s="113"/>
      <c r="C3" s="114"/>
      <c r="D3" s="114"/>
      <c r="E3" s="115"/>
      <c r="F3" s="115"/>
      <c r="G3" s="115"/>
      <c r="H3" s="260"/>
      <c r="I3" s="260"/>
      <c r="J3" s="260"/>
      <c r="K3" s="260"/>
      <c r="L3" s="260"/>
      <c r="M3" s="260"/>
      <c r="N3" s="260"/>
      <c r="O3" s="260"/>
    </row>
    <row r="4" spans="1:17" s="80" customFormat="1" ht="61.5" customHeight="1" x14ac:dyDescent="0.45">
      <c r="A4" s="113"/>
      <c r="B4" s="113"/>
      <c r="C4" s="114"/>
      <c r="D4" s="114"/>
      <c r="E4" s="115"/>
      <c r="F4" s="115"/>
      <c r="G4" s="115"/>
      <c r="H4" s="260"/>
      <c r="I4" s="260"/>
      <c r="J4" s="260"/>
      <c r="K4" s="260"/>
      <c r="L4" s="260"/>
      <c r="M4" s="260"/>
      <c r="N4" s="260"/>
      <c r="O4" s="260"/>
    </row>
    <row r="5" spans="1:17" s="113" customFormat="1" ht="72.75" customHeight="1" x14ac:dyDescent="0.45">
      <c r="A5" s="257" t="s">
        <v>269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8"/>
      <c r="M5" s="258"/>
      <c r="N5" s="258"/>
      <c r="O5" s="258"/>
    </row>
    <row r="6" spans="1:17" s="116" customFormat="1" ht="39.75" customHeight="1" x14ac:dyDescent="0.35">
      <c r="A6" s="252" t="s">
        <v>5</v>
      </c>
      <c r="B6" s="249" t="s">
        <v>17</v>
      </c>
      <c r="C6" s="249" t="s">
        <v>18</v>
      </c>
      <c r="D6" s="253" t="s">
        <v>19</v>
      </c>
      <c r="E6" s="254"/>
      <c r="F6" s="254"/>
      <c r="G6" s="254"/>
      <c r="H6" s="254"/>
      <c r="I6" s="254"/>
      <c r="J6" s="254"/>
      <c r="K6" s="254"/>
      <c r="L6" s="255"/>
      <c r="M6" s="255"/>
      <c r="N6" s="255"/>
      <c r="O6" s="255"/>
    </row>
    <row r="7" spans="1:17" s="116" customFormat="1" ht="88.5" customHeight="1" x14ac:dyDescent="0.35">
      <c r="A7" s="252"/>
      <c r="B7" s="249"/>
      <c r="C7" s="249"/>
      <c r="D7" s="182" t="s">
        <v>42</v>
      </c>
      <c r="E7" s="189">
        <v>2014</v>
      </c>
      <c r="F7" s="189">
        <v>2015</v>
      </c>
      <c r="G7" s="189">
        <v>2016</v>
      </c>
      <c r="H7" s="189">
        <v>2017</v>
      </c>
      <c r="I7" s="189">
        <v>2018</v>
      </c>
      <c r="J7" s="189">
        <v>2019</v>
      </c>
      <c r="K7" s="189">
        <v>2020</v>
      </c>
      <c r="L7" s="183">
        <v>2021</v>
      </c>
      <c r="M7" s="196">
        <v>2022</v>
      </c>
      <c r="N7" s="194">
        <v>2023</v>
      </c>
      <c r="O7" s="183">
        <v>2024</v>
      </c>
    </row>
    <row r="8" spans="1:17" s="116" customFormat="1" ht="38.25" customHeight="1" x14ac:dyDescent="0.35">
      <c r="A8" s="250" t="s">
        <v>20</v>
      </c>
      <c r="B8" s="250" t="s">
        <v>176</v>
      </c>
      <c r="C8" s="117" t="s">
        <v>0</v>
      </c>
      <c r="D8" s="184">
        <f>E8+F8+G8+H8+I8+J8+K8+L8+M8+N8+O8</f>
        <v>2143238.2649999997</v>
      </c>
      <c r="E8" s="184">
        <f>E10+E11+E12+E13+E14+E15+E16+E17+E19+E20</f>
        <v>138477.5</v>
      </c>
      <c r="F8" s="184">
        <f t="shared" ref="F8:J8" si="0">F10+F11+F12+F13+F14+F15+F16+F17+F19+F20</f>
        <v>277752</v>
      </c>
      <c r="G8" s="184">
        <f t="shared" si="0"/>
        <v>166412.6</v>
      </c>
      <c r="H8" s="184">
        <f>SUM(H10:H20)</f>
        <v>105436.39000000001</v>
      </c>
      <c r="I8" s="184">
        <f>SUM(I10:I20)</f>
        <v>131546.63</v>
      </c>
      <c r="J8" s="184">
        <f t="shared" si="0"/>
        <v>128211.045</v>
      </c>
      <c r="K8" s="184">
        <f>K10+K11+K12+K13+K14+K15+K16+K17+K19+K20</f>
        <v>170080.63999999998</v>
      </c>
      <c r="L8" s="184">
        <f>SUM(L10:L20)</f>
        <v>185406.12</v>
      </c>
      <c r="M8" s="197">
        <f>SUM(M10:M20)</f>
        <v>272044.94</v>
      </c>
      <c r="N8" s="195">
        <f t="shared" ref="N8:O8" si="1">SUM(N10:N20)</f>
        <v>322157.40000000002</v>
      </c>
      <c r="O8" s="184">
        <f t="shared" si="1"/>
        <v>245713</v>
      </c>
      <c r="P8" s="118">
        <f>E8+F8+G8+H8+I8+J8+K8+L8+M8+N8+O8</f>
        <v>2143238.2649999997</v>
      </c>
      <c r="Q8" s="118">
        <f>195626-L8</f>
        <v>10219.880000000005</v>
      </c>
    </row>
    <row r="9" spans="1:17" s="116" customFormat="1" ht="24" customHeight="1" x14ac:dyDescent="0.35">
      <c r="A9" s="250"/>
      <c r="B9" s="250"/>
      <c r="C9" s="117" t="s">
        <v>177</v>
      </c>
      <c r="D9" s="184"/>
      <c r="E9" s="184"/>
      <c r="F9" s="184"/>
      <c r="G9" s="184"/>
      <c r="H9" s="184"/>
      <c r="I9" s="184"/>
      <c r="J9" s="184"/>
      <c r="K9" s="184"/>
      <c r="L9" s="81"/>
      <c r="M9" s="81"/>
      <c r="N9" s="81"/>
      <c r="O9" s="81"/>
    </row>
    <row r="10" spans="1:17" s="116" customFormat="1" ht="36.75" customHeight="1" x14ac:dyDescent="0.35">
      <c r="A10" s="250"/>
      <c r="B10" s="250"/>
      <c r="C10" s="119" t="s">
        <v>166</v>
      </c>
      <c r="D10" s="184">
        <f>E10+F10+G10+H10+I10+J10+K10+L10+M10+N10+O10</f>
        <v>1501131.075</v>
      </c>
      <c r="E10" s="184">
        <f t="shared" ref="E10" si="2">E23+E35+E52</f>
        <v>84325</v>
      </c>
      <c r="F10" s="184">
        <f t="shared" ref="F10:O10" si="3">F23+F35+F52</f>
        <v>68349.999999999985</v>
      </c>
      <c r="G10" s="184">
        <f t="shared" si="3"/>
        <v>82632.100000000006</v>
      </c>
      <c r="H10" s="184">
        <f t="shared" si="3"/>
        <v>82711.900000000009</v>
      </c>
      <c r="I10" s="184">
        <f t="shared" si="3"/>
        <v>103467</v>
      </c>
      <c r="J10" s="184">
        <f t="shared" si="3"/>
        <v>117656.94499999999</v>
      </c>
      <c r="K10" s="184">
        <f t="shared" si="3"/>
        <v>147095.9</v>
      </c>
      <c r="L10" s="184">
        <f>L23+L35+L52</f>
        <v>152253.68</v>
      </c>
      <c r="M10" s="197">
        <f t="shared" si="3"/>
        <v>203295.55</v>
      </c>
      <c r="N10" s="195">
        <f t="shared" si="3"/>
        <v>241852</v>
      </c>
      <c r="O10" s="184">
        <f t="shared" si="3"/>
        <v>217491</v>
      </c>
      <c r="P10" s="118">
        <f>144530.5-K10</f>
        <v>-2565.3999999999942</v>
      </c>
    </row>
    <row r="11" spans="1:17" s="116" customFormat="1" ht="33.75" customHeight="1" x14ac:dyDescent="0.35">
      <c r="A11" s="250"/>
      <c r="B11" s="250"/>
      <c r="C11" s="119" t="s">
        <v>140</v>
      </c>
      <c r="D11" s="184">
        <f t="shared" ref="D11:D20" si="4">E11+F11+G11+H11+I11+J11+K11+L11+M11+N11+O11</f>
        <v>45923.43</v>
      </c>
      <c r="E11" s="184">
        <f t="shared" ref="E11:O11" si="5">E24+E38</f>
        <v>2833</v>
      </c>
      <c r="F11" s="184">
        <f t="shared" si="5"/>
        <v>3276</v>
      </c>
      <c r="G11" s="184">
        <f>G24+G38+G56+G46</f>
        <v>4663.6000000000004</v>
      </c>
      <c r="H11" s="184">
        <f t="shared" si="5"/>
        <v>3348</v>
      </c>
      <c r="I11" s="184">
        <f>I24+I38+I46</f>
        <v>3749.1</v>
      </c>
      <c r="J11" s="184">
        <f t="shared" si="5"/>
        <v>2401</v>
      </c>
      <c r="K11" s="184">
        <f t="shared" si="5"/>
        <v>4242</v>
      </c>
      <c r="L11" s="184">
        <f t="shared" ref="L11:L16" si="6">L24+L38+L46+L56</f>
        <v>5312.84</v>
      </c>
      <c r="M11" s="197">
        <f>M24+M38+M46</f>
        <v>7942.49</v>
      </c>
      <c r="N11" s="195">
        <f t="shared" si="5"/>
        <v>4207.3999999999996</v>
      </c>
      <c r="O11" s="184">
        <f t="shared" si="5"/>
        <v>3948</v>
      </c>
    </row>
    <row r="12" spans="1:17" s="116" customFormat="1" ht="42" customHeight="1" x14ac:dyDescent="0.35">
      <c r="A12" s="250"/>
      <c r="B12" s="250"/>
      <c r="C12" s="119" t="s">
        <v>141</v>
      </c>
      <c r="D12" s="184">
        <f t="shared" si="4"/>
        <v>50247.199999999997</v>
      </c>
      <c r="E12" s="184">
        <f>E25+E39</f>
        <v>3662</v>
      </c>
      <c r="F12" s="184">
        <f t="shared" ref="F12:K12" si="7">F25+F39</f>
        <v>3166</v>
      </c>
      <c r="G12" s="184">
        <f>G25+G39+G57</f>
        <v>4424.8999999999996</v>
      </c>
      <c r="H12" s="184">
        <f t="shared" si="7"/>
        <v>4356</v>
      </c>
      <c r="I12" s="184">
        <f t="shared" si="7"/>
        <v>6851.3</v>
      </c>
      <c r="J12" s="184">
        <f t="shared" si="7"/>
        <v>2058</v>
      </c>
      <c r="K12" s="184">
        <f t="shared" si="7"/>
        <v>5395</v>
      </c>
      <c r="L12" s="184">
        <f t="shared" si="6"/>
        <v>4561</v>
      </c>
      <c r="M12" s="197">
        <f t="shared" ref="M12:O12" si="8">M25+M39+M47</f>
        <v>4703</v>
      </c>
      <c r="N12" s="195">
        <f t="shared" si="8"/>
        <v>5535</v>
      </c>
      <c r="O12" s="184">
        <f t="shared" si="8"/>
        <v>5535</v>
      </c>
      <c r="P12" s="118">
        <f>322157.4-N8</f>
        <v>0</v>
      </c>
    </row>
    <row r="13" spans="1:17" s="116" customFormat="1" ht="39.75" customHeight="1" x14ac:dyDescent="0.35">
      <c r="A13" s="250"/>
      <c r="B13" s="250"/>
      <c r="C13" s="119" t="s">
        <v>142</v>
      </c>
      <c r="D13" s="184">
        <f>E13+F13+G13+H13+I13+J13+K13+L13+M13+N13+O13</f>
        <v>38518.539999999994</v>
      </c>
      <c r="E13" s="184">
        <f>E26+E40</f>
        <v>1811</v>
      </c>
      <c r="F13" s="184">
        <f t="shared" ref="F13:O13" si="9">F26+F40</f>
        <v>2768</v>
      </c>
      <c r="G13" s="184">
        <f>G26+G40+G58</f>
        <v>5228</v>
      </c>
      <c r="H13" s="184">
        <f t="shared" si="9"/>
        <v>2885</v>
      </c>
      <c r="I13" s="184">
        <f>I26+I40+I48</f>
        <v>3487</v>
      </c>
      <c r="J13" s="184">
        <f t="shared" si="9"/>
        <v>2668.1</v>
      </c>
      <c r="K13" s="184">
        <f t="shared" si="9"/>
        <v>3500.24</v>
      </c>
      <c r="L13" s="184">
        <f t="shared" si="6"/>
        <v>6003.7</v>
      </c>
      <c r="M13" s="197">
        <f>M26+M40+M48</f>
        <v>3729.5</v>
      </c>
      <c r="N13" s="195">
        <f t="shared" si="9"/>
        <v>3219</v>
      </c>
      <c r="O13" s="184">
        <f t="shared" si="9"/>
        <v>3219</v>
      </c>
    </row>
    <row r="14" spans="1:17" s="116" customFormat="1" ht="44.25" customHeight="1" x14ac:dyDescent="0.35">
      <c r="A14" s="250"/>
      <c r="B14" s="250"/>
      <c r="C14" s="119" t="s">
        <v>143</v>
      </c>
      <c r="D14" s="184">
        <f t="shared" si="4"/>
        <v>28576.99</v>
      </c>
      <c r="E14" s="184">
        <f>E27+E41</f>
        <v>2234</v>
      </c>
      <c r="F14" s="184">
        <f t="shared" ref="F14:O14" si="10">F27+F41</f>
        <v>1931</v>
      </c>
      <c r="G14" s="184">
        <f>G27+G41+G59</f>
        <v>3121.3</v>
      </c>
      <c r="H14" s="184">
        <f t="shared" si="10"/>
        <v>3532.19</v>
      </c>
      <c r="I14" s="184">
        <f>I27+I41+I49</f>
        <v>3809.2</v>
      </c>
      <c r="J14" s="184">
        <f t="shared" si="10"/>
        <v>445</v>
      </c>
      <c r="K14" s="184">
        <f t="shared" si="10"/>
        <v>1886</v>
      </c>
      <c r="L14" s="184">
        <f t="shared" si="6"/>
        <v>2576.4</v>
      </c>
      <c r="M14" s="197">
        <f t="shared" si="10"/>
        <v>2899.9</v>
      </c>
      <c r="N14" s="195">
        <f t="shared" si="10"/>
        <v>3071</v>
      </c>
      <c r="O14" s="184">
        <f t="shared" si="10"/>
        <v>3071</v>
      </c>
    </row>
    <row r="15" spans="1:17" s="116" customFormat="1" ht="39.75" customHeight="1" x14ac:dyDescent="0.35">
      <c r="A15" s="250"/>
      <c r="B15" s="250"/>
      <c r="C15" s="119" t="s">
        <v>144</v>
      </c>
      <c r="D15" s="184">
        <f>E15+F15+G15+H15+I15+J15+K15+L15+M15+N15+O15</f>
        <v>44094.729999999996</v>
      </c>
      <c r="E15" s="184">
        <f>E28+E42</f>
        <v>3783</v>
      </c>
      <c r="F15" s="184">
        <f t="shared" ref="F15:O15" si="11">F28+F42</f>
        <v>3444</v>
      </c>
      <c r="G15" s="184">
        <f>G28+G42+G60</f>
        <v>5757.7</v>
      </c>
      <c r="H15" s="184">
        <f t="shared" si="11"/>
        <v>4170</v>
      </c>
      <c r="I15" s="184">
        <f>I28+I42+I50</f>
        <v>6146.03</v>
      </c>
      <c r="J15" s="184">
        <f t="shared" si="11"/>
        <v>1182</v>
      </c>
      <c r="K15" s="184">
        <f t="shared" si="11"/>
        <v>4019</v>
      </c>
      <c r="L15" s="184">
        <f t="shared" si="6"/>
        <v>4412</v>
      </c>
      <c r="M15" s="197">
        <f t="shared" si="11"/>
        <v>2841</v>
      </c>
      <c r="N15" s="195">
        <f t="shared" si="11"/>
        <v>4170</v>
      </c>
      <c r="O15" s="184">
        <f t="shared" si="11"/>
        <v>4170</v>
      </c>
    </row>
    <row r="16" spans="1:17" s="120" customFormat="1" ht="39" customHeight="1" x14ac:dyDescent="0.35">
      <c r="A16" s="250"/>
      <c r="B16" s="250"/>
      <c r="C16" s="119" t="s">
        <v>145</v>
      </c>
      <c r="D16" s="184">
        <f t="shared" si="4"/>
        <v>51423.199999999997</v>
      </c>
      <c r="E16" s="184">
        <f>E29+E43+E51</f>
        <v>1305</v>
      </c>
      <c r="F16" s="184">
        <f>F29+F43+F51</f>
        <v>3506</v>
      </c>
      <c r="G16" s="184">
        <f>G29+G43+G61+G51</f>
        <v>6550</v>
      </c>
      <c r="H16" s="184">
        <f>H29+H43+H51</f>
        <v>3845.3</v>
      </c>
      <c r="I16" s="184">
        <f>I29+I43+I51</f>
        <v>2759</v>
      </c>
      <c r="J16" s="184">
        <f>J29+J43+J51</f>
        <v>1035</v>
      </c>
      <c r="K16" s="184">
        <f>K29+K43+K51</f>
        <v>3344.9</v>
      </c>
      <c r="L16" s="184">
        <f t="shared" si="6"/>
        <v>5756</v>
      </c>
      <c r="M16" s="197">
        <f>M29+M43+M51</f>
        <v>6764</v>
      </c>
      <c r="N16" s="195">
        <f t="shared" ref="N16:O16" si="12">N29+N43+N51</f>
        <v>8279</v>
      </c>
      <c r="O16" s="184">
        <f t="shared" si="12"/>
        <v>8279</v>
      </c>
    </row>
    <row r="17" spans="1:18" s="120" customFormat="1" ht="34.5" customHeight="1" x14ac:dyDescent="0.35">
      <c r="A17" s="250"/>
      <c r="B17" s="250"/>
      <c r="C17" s="119" t="s">
        <v>169</v>
      </c>
      <c r="D17" s="184">
        <f t="shared" si="4"/>
        <v>333140.09999999998</v>
      </c>
      <c r="E17" s="184">
        <v>37088</v>
      </c>
      <c r="F17" s="184">
        <f>F30+F55</f>
        <v>190000</v>
      </c>
      <c r="G17" s="184">
        <f>G30</f>
        <v>52992</v>
      </c>
      <c r="H17" s="184">
        <f>H30</f>
        <v>0</v>
      </c>
      <c r="I17" s="184">
        <f>I30</f>
        <v>0</v>
      </c>
      <c r="J17" s="184">
        <v>0</v>
      </c>
      <c r="K17" s="184">
        <f>K30</f>
        <v>0</v>
      </c>
      <c r="L17" s="184">
        <f>L30+L55+L36</f>
        <v>3957</v>
      </c>
      <c r="M17" s="197">
        <f>M30+M55</f>
        <v>22605.1</v>
      </c>
      <c r="N17" s="195">
        <f>N30+N55</f>
        <v>26498</v>
      </c>
      <c r="O17" s="184">
        <f t="shared" ref="O17" si="13">O30</f>
        <v>0</v>
      </c>
    </row>
    <row r="18" spans="1:18" s="120" customFormat="1" ht="48" customHeight="1" x14ac:dyDescent="0.35">
      <c r="A18" s="250"/>
      <c r="B18" s="250"/>
      <c r="C18" s="119" t="s">
        <v>289</v>
      </c>
      <c r="D18" s="184">
        <f>M18+N18+O18</f>
        <v>42210</v>
      </c>
      <c r="E18" s="184" t="str">
        <f t="shared" ref="E18:N18" si="14">E37</f>
        <v>-</v>
      </c>
      <c r="F18" s="184" t="str">
        <f t="shared" si="14"/>
        <v>-</v>
      </c>
      <c r="G18" s="184" t="str">
        <f t="shared" si="14"/>
        <v>-</v>
      </c>
      <c r="H18" s="184" t="str">
        <f t="shared" si="14"/>
        <v>-</v>
      </c>
      <c r="I18" s="184" t="str">
        <f t="shared" si="14"/>
        <v>-</v>
      </c>
      <c r="J18" s="184" t="str">
        <f t="shared" si="14"/>
        <v>-</v>
      </c>
      <c r="K18" s="184" t="str">
        <f t="shared" si="14"/>
        <v>-</v>
      </c>
      <c r="L18" s="184" t="str">
        <f t="shared" si="14"/>
        <v>-</v>
      </c>
      <c r="M18" s="197">
        <f t="shared" si="14"/>
        <v>16884</v>
      </c>
      <c r="N18" s="195">
        <f t="shared" si="14"/>
        <v>25326</v>
      </c>
      <c r="O18" s="184">
        <f>O37</f>
        <v>0</v>
      </c>
    </row>
    <row r="19" spans="1:18" s="120" customFormat="1" ht="33.75" customHeight="1" x14ac:dyDescent="0.35">
      <c r="A19" s="250"/>
      <c r="B19" s="250"/>
      <c r="C19" s="119" t="s">
        <v>227</v>
      </c>
      <c r="D19" s="184">
        <f>E19+F19+G19+H19+I19+J19+K19+L19+M19+N19+O19</f>
        <v>7973</v>
      </c>
      <c r="E19" s="184">
        <v>1436.5</v>
      </c>
      <c r="F19" s="184">
        <f>F31</f>
        <v>1311</v>
      </c>
      <c r="G19" s="184">
        <f>G31</f>
        <v>1043</v>
      </c>
      <c r="H19" s="184">
        <f>H31</f>
        <v>588</v>
      </c>
      <c r="I19" s="184">
        <f t="shared" ref="I19:O19" si="15">I31</f>
        <v>1278</v>
      </c>
      <c r="J19" s="184">
        <f t="shared" si="15"/>
        <v>765</v>
      </c>
      <c r="K19" s="184">
        <v>597.6</v>
      </c>
      <c r="L19" s="184">
        <f>L31</f>
        <v>573.5</v>
      </c>
      <c r="M19" s="197">
        <f t="shared" si="15"/>
        <v>380.4</v>
      </c>
      <c r="N19" s="195">
        <f t="shared" si="15"/>
        <v>0</v>
      </c>
      <c r="O19" s="184">
        <f t="shared" si="15"/>
        <v>0</v>
      </c>
    </row>
    <row r="20" spans="1:18" s="120" customFormat="1" ht="44.25" customHeight="1" x14ac:dyDescent="0.35">
      <c r="A20" s="250"/>
      <c r="B20" s="250"/>
      <c r="C20" s="119" t="s">
        <v>167</v>
      </c>
      <c r="D20" s="184">
        <f t="shared" si="4"/>
        <v>0</v>
      </c>
      <c r="E20" s="184">
        <v>0</v>
      </c>
      <c r="F20" s="184">
        <v>0</v>
      </c>
      <c r="G20" s="184">
        <v>0</v>
      </c>
      <c r="H20" s="184">
        <v>0</v>
      </c>
      <c r="I20" s="184">
        <v>0</v>
      </c>
      <c r="J20" s="184">
        <v>0</v>
      </c>
      <c r="K20" s="184">
        <v>0</v>
      </c>
      <c r="L20" s="184">
        <v>0</v>
      </c>
      <c r="M20" s="197">
        <v>0</v>
      </c>
      <c r="N20" s="195">
        <v>0</v>
      </c>
      <c r="O20" s="184">
        <v>0</v>
      </c>
    </row>
    <row r="21" spans="1:18" s="116" customFormat="1" ht="35.25" customHeight="1" x14ac:dyDescent="0.35">
      <c r="A21" s="250" t="s">
        <v>10</v>
      </c>
      <c r="B21" s="250" t="s">
        <v>146</v>
      </c>
      <c r="C21" s="121" t="s">
        <v>0</v>
      </c>
      <c r="D21" s="76">
        <f>D23+D24+D25+D26+D27+D28+D29+D30+D31+D32</f>
        <v>1838932.9349999998</v>
      </c>
      <c r="E21" s="76">
        <f>E23+E24+E25+E26+E27+E28+E29+E30+E31+E32</f>
        <v>133006.5</v>
      </c>
      <c r="F21" s="76">
        <f t="shared" ref="F21:O21" si="16">F23+F24+F25+F26+F27+F28+F29+F30+F31+F32</f>
        <v>271681.40000000002</v>
      </c>
      <c r="G21" s="76">
        <f t="shared" si="16"/>
        <v>153370</v>
      </c>
      <c r="H21" s="76">
        <f t="shared" si="16"/>
        <v>98764.49</v>
      </c>
      <c r="I21" s="76">
        <f t="shared" si="16"/>
        <v>121139.39</v>
      </c>
      <c r="J21" s="76">
        <f t="shared" si="16"/>
        <v>121629.045</v>
      </c>
      <c r="K21" s="76">
        <f t="shared" si="16"/>
        <v>162717.84</v>
      </c>
      <c r="L21" s="76">
        <f>L23+L24+L25+L26+L27+L28+L29+L30+L31+L32</f>
        <v>165387.82</v>
      </c>
      <c r="M21" s="76">
        <f>M23+M24+M25+M26+M27+M28+M29+M30+M31+M32</f>
        <v>202157.05</v>
      </c>
      <c r="N21" s="76">
        <f t="shared" si="16"/>
        <v>209180.4</v>
      </c>
      <c r="O21" s="76">
        <f t="shared" si="16"/>
        <v>199899</v>
      </c>
    </row>
    <row r="22" spans="1:18" s="116" customFormat="1" ht="23.25" customHeight="1" x14ac:dyDescent="0.35">
      <c r="A22" s="251"/>
      <c r="B22" s="250"/>
      <c r="C22" s="117" t="s">
        <v>177</v>
      </c>
      <c r="D22" s="184"/>
      <c r="E22" s="184"/>
      <c r="F22" s="184"/>
      <c r="G22" s="184"/>
      <c r="H22" s="184"/>
      <c r="I22" s="184"/>
      <c r="J22" s="184"/>
      <c r="K22" s="184"/>
      <c r="L22" s="81"/>
      <c r="M22" s="81"/>
      <c r="N22" s="81"/>
      <c r="O22" s="81"/>
    </row>
    <row r="23" spans="1:18" s="116" customFormat="1" ht="33.75" customHeight="1" x14ac:dyDescent="0.35">
      <c r="A23" s="251"/>
      <c r="B23" s="250"/>
      <c r="C23" s="119" t="s">
        <v>166</v>
      </c>
      <c r="D23" s="184">
        <f>E23+F23+G23+H23+I23+J23+K23+L23+M23+N23+O23</f>
        <v>1333024.2349999999</v>
      </c>
      <c r="E23" s="184">
        <v>81416</v>
      </c>
      <c r="F23" s="184">
        <v>65913.399999999994</v>
      </c>
      <c r="G23" s="184">
        <v>74016.3</v>
      </c>
      <c r="H23" s="184">
        <v>79327</v>
      </c>
      <c r="I23" s="184">
        <v>95812.66</v>
      </c>
      <c r="J23" s="184">
        <v>114043.745</v>
      </c>
      <c r="K23" s="184">
        <f>142216.6+831.4</f>
        <v>143048</v>
      </c>
      <c r="L23" s="81">
        <v>142764.38</v>
      </c>
      <c r="M23" s="81">
        <v>178608.75</v>
      </c>
      <c r="N23" s="81">
        <f>12132+100+23075+69180+29600+49461</f>
        <v>183548</v>
      </c>
      <c r="O23" s="81">
        <f>100+23998+69180+29600+51648</f>
        <v>174526</v>
      </c>
      <c r="P23" s="118"/>
      <c r="Q23" s="118">
        <f>L24+L25+L26+L27+L28+L29</f>
        <v>22049.940000000002</v>
      </c>
      <c r="R23" s="118">
        <f>M24+M25+M26+M27+M28+M29</f>
        <v>23167.9</v>
      </c>
    </row>
    <row r="24" spans="1:18" s="116" customFormat="1" ht="32.25" customHeight="1" x14ac:dyDescent="0.35">
      <c r="A24" s="251"/>
      <c r="B24" s="250"/>
      <c r="C24" s="119" t="s">
        <v>140</v>
      </c>
      <c r="D24" s="184">
        <f t="shared" ref="D24:D32" si="17">E24+F24+G24+H24+I24+J24+K24+L24+M24+N24+O24</f>
        <v>27290.440000000002</v>
      </c>
      <c r="E24" s="184">
        <v>2033</v>
      </c>
      <c r="F24" s="184">
        <v>2379</v>
      </c>
      <c r="G24" s="184">
        <v>3533.7</v>
      </c>
      <c r="H24" s="184">
        <v>2247</v>
      </c>
      <c r="I24" s="184">
        <v>2103.1999999999998</v>
      </c>
      <c r="J24" s="184">
        <v>603.20000000000005</v>
      </c>
      <c r="K24" s="184">
        <v>1903.1</v>
      </c>
      <c r="L24" s="81">
        <v>2162.84</v>
      </c>
      <c r="M24" s="81">
        <v>4130</v>
      </c>
      <c r="N24" s="81">
        <v>3227.4</v>
      </c>
      <c r="O24" s="81">
        <v>2968</v>
      </c>
    </row>
    <row r="25" spans="1:18" s="116" customFormat="1" ht="32.25" customHeight="1" x14ac:dyDescent="0.35">
      <c r="A25" s="251"/>
      <c r="B25" s="250"/>
      <c r="C25" s="119" t="s">
        <v>141</v>
      </c>
      <c r="D25" s="184">
        <f t="shared" si="17"/>
        <v>45843.3</v>
      </c>
      <c r="E25" s="184">
        <v>3117</v>
      </c>
      <c r="F25" s="184">
        <v>2638</v>
      </c>
      <c r="G25" s="184">
        <v>3811</v>
      </c>
      <c r="H25" s="184">
        <v>4063</v>
      </c>
      <c r="I25" s="184">
        <v>6851.3</v>
      </c>
      <c r="J25" s="184">
        <v>1966</v>
      </c>
      <c r="K25" s="184">
        <v>5349</v>
      </c>
      <c r="L25" s="81">
        <v>3719</v>
      </c>
      <c r="M25" s="81">
        <v>4085</v>
      </c>
      <c r="N25" s="81">
        <v>5122</v>
      </c>
      <c r="O25" s="81">
        <v>5122</v>
      </c>
    </row>
    <row r="26" spans="1:18" s="116" customFormat="1" ht="42" customHeight="1" x14ac:dyDescent="0.35">
      <c r="A26" s="251"/>
      <c r="B26" s="250"/>
      <c r="C26" s="119" t="s">
        <v>142</v>
      </c>
      <c r="D26" s="184">
        <f t="shared" si="17"/>
        <v>31729.040000000001</v>
      </c>
      <c r="E26" s="184">
        <v>1512</v>
      </c>
      <c r="F26" s="184">
        <v>2234</v>
      </c>
      <c r="G26" s="184">
        <v>4536</v>
      </c>
      <c r="H26" s="184">
        <v>2191</v>
      </c>
      <c r="I26" s="184">
        <v>2693</v>
      </c>
      <c r="J26" s="184">
        <v>2124.1</v>
      </c>
      <c r="K26" s="184">
        <v>3197.24</v>
      </c>
      <c r="L26" s="81">
        <v>5081.7</v>
      </c>
      <c r="M26" s="81">
        <v>3110</v>
      </c>
      <c r="N26" s="81">
        <v>2525</v>
      </c>
      <c r="O26" s="81">
        <v>2525</v>
      </c>
    </row>
    <row r="27" spans="1:18" s="116" customFormat="1" ht="41.25" customHeight="1" x14ac:dyDescent="0.35">
      <c r="A27" s="251"/>
      <c r="B27" s="250"/>
      <c r="C27" s="119" t="s">
        <v>143</v>
      </c>
      <c r="D27" s="184">
        <f t="shared" si="17"/>
        <v>27027.99</v>
      </c>
      <c r="E27" s="184">
        <v>1919</v>
      </c>
      <c r="F27" s="184">
        <v>1702</v>
      </c>
      <c r="G27" s="184">
        <v>2768.3</v>
      </c>
      <c r="H27" s="184">
        <v>3179.19</v>
      </c>
      <c r="I27" s="184">
        <v>3809.2</v>
      </c>
      <c r="J27" s="184">
        <v>445</v>
      </c>
      <c r="K27" s="184">
        <v>1886</v>
      </c>
      <c r="L27" s="81">
        <v>2277.4</v>
      </c>
      <c r="M27" s="81">
        <v>2899.9</v>
      </c>
      <c r="N27" s="81">
        <v>3071</v>
      </c>
      <c r="O27" s="81">
        <v>3071</v>
      </c>
    </row>
    <row r="28" spans="1:18" s="116" customFormat="1" ht="38.25" customHeight="1" x14ac:dyDescent="0.35">
      <c r="A28" s="251"/>
      <c r="B28" s="250"/>
      <c r="C28" s="119" t="s">
        <v>144</v>
      </c>
      <c r="D28" s="184">
        <f t="shared" si="17"/>
        <v>43594.729999999996</v>
      </c>
      <c r="E28" s="184">
        <v>3683</v>
      </c>
      <c r="F28" s="184">
        <v>3444</v>
      </c>
      <c r="G28" s="184">
        <v>5757.7</v>
      </c>
      <c r="H28" s="184">
        <v>4170</v>
      </c>
      <c r="I28" s="184">
        <v>6046.03</v>
      </c>
      <c r="J28" s="184">
        <v>1182</v>
      </c>
      <c r="K28" s="184">
        <v>4019</v>
      </c>
      <c r="L28" s="81">
        <v>4112</v>
      </c>
      <c r="M28" s="81">
        <v>2841</v>
      </c>
      <c r="N28" s="81">
        <v>4170</v>
      </c>
      <c r="O28" s="81">
        <v>4170</v>
      </c>
    </row>
    <row r="29" spans="1:18" s="116" customFormat="1" ht="35.25" customHeight="1" x14ac:dyDescent="0.35">
      <c r="A29" s="251"/>
      <c r="B29" s="250"/>
      <c r="C29" s="119" t="s">
        <v>145</v>
      </c>
      <c r="D29" s="184">
        <f t="shared" si="17"/>
        <v>42370.2</v>
      </c>
      <c r="E29" s="184">
        <v>802</v>
      </c>
      <c r="F29" s="184">
        <v>2060</v>
      </c>
      <c r="G29" s="184">
        <v>4912</v>
      </c>
      <c r="H29" s="184">
        <v>2999.3</v>
      </c>
      <c r="I29" s="184">
        <v>2546</v>
      </c>
      <c r="J29" s="184">
        <v>500</v>
      </c>
      <c r="K29" s="184">
        <v>2717.9</v>
      </c>
      <c r="L29" s="81">
        <v>4697</v>
      </c>
      <c r="M29" s="81">
        <v>6102</v>
      </c>
      <c r="N29" s="81">
        <v>7517</v>
      </c>
      <c r="O29" s="81">
        <v>7517</v>
      </c>
    </row>
    <row r="30" spans="1:18" s="116" customFormat="1" ht="43.5" customHeight="1" x14ac:dyDescent="0.35">
      <c r="A30" s="251"/>
      <c r="B30" s="250"/>
      <c r="C30" s="119" t="s">
        <v>168</v>
      </c>
      <c r="D30" s="184">
        <f t="shared" si="17"/>
        <v>280080</v>
      </c>
      <c r="E30" s="184">
        <v>37088</v>
      </c>
      <c r="F30" s="184">
        <v>190000</v>
      </c>
      <c r="G30" s="184">
        <v>52992</v>
      </c>
      <c r="H30" s="184">
        <v>0</v>
      </c>
      <c r="I30" s="184">
        <v>0</v>
      </c>
      <c r="J30" s="184">
        <v>0</v>
      </c>
      <c r="K30" s="184">
        <v>0</v>
      </c>
      <c r="L30" s="81">
        <v>0</v>
      </c>
      <c r="M30" s="81">
        <v>0</v>
      </c>
      <c r="N30" s="81">
        <v>0</v>
      </c>
      <c r="O30" s="81">
        <v>0</v>
      </c>
    </row>
    <row r="31" spans="1:18" s="116" customFormat="1" ht="40.5" customHeight="1" x14ac:dyDescent="0.35">
      <c r="A31" s="251"/>
      <c r="B31" s="250"/>
      <c r="C31" s="119" t="s">
        <v>227</v>
      </c>
      <c r="D31" s="184">
        <f t="shared" si="17"/>
        <v>7973</v>
      </c>
      <c r="E31" s="184">
        <v>1436.5</v>
      </c>
      <c r="F31" s="184">
        <v>1311</v>
      </c>
      <c r="G31" s="184">
        <v>1043</v>
      </c>
      <c r="H31" s="184">
        <v>588</v>
      </c>
      <c r="I31" s="77">
        <v>1278</v>
      </c>
      <c r="J31" s="77">
        <v>765</v>
      </c>
      <c r="K31" s="77">
        <v>597.6</v>
      </c>
      <c r="L31" s="81">
        <v>573.5</v>
      </c>
      <c r="M31" s="81">
        <v>380.4</v>
      </c>
      <c r="N31" s="81">
        <v>0</v>
      </c>
      <c r="O31" s="81">
        <v>0</v>
      </c>
    </row>
    <row r="32" spans="1:18" s="116" customFormat="1" ht="47.25" customHeight="1" x14ac:dyDescent="0.35">
      <c r="A32" s="251"/>
      <c r="B32" s="250"/>
      <c r="C32" s="119" t="s">
        <v>167</v>
      </c>
      <c r="D32" s="184">
        <f t="shared" si="17"/>
        <v>0</v>
      </c>
      <c r="E32" s="184">
        <v>0</v>
      </c>
      <c r="F32" s="184">
        <v>0</v>
      </c>
      <c r="G32" s="184">
        <v>0</v>
      </c>
      <c r="H32" s="184">
        <v>0</v>
      </c>
      <c r="I32" s="184">
        <v>0</v>
      </c>
      <c r="J32" s="184">
        <v>0</v>
      </c>
      <c r="K32" s="184">
        <v>0</v>
      </c>
      <c r="L32" s="81">
        <v>0</v>
      </c>
      <c r="M32" s="81">
        <v>0</v>
      </c>
      <c r="N32" s="81">
        <v>0</v>
      </c>
      <c r="O32" s="81">
        <v>0</v>
      </c>
    </row>
    <row r="33" spans="1:18" s="116" customFormat="1" ht="34.5" customHeight="1" x14ac:dyDescent="0.35">
      <c r="A33" s="250" t="s">
        <v>12</v>
      </c>
      <c r="B33" s="250" t="s">
        <v>148</v>
      </c>
      <c r="C33" s="117" t="s">
        <v>0</v>
      </c>
      <c r="D33" s="184">
        <f>D35+D38+D39+D40+D41+D42+D43+D36+D37</f>
        <v>149227.06999999998</v>
      </c>
      <c r="E33" s="184">
        <f>E35+E38+E39+E40+E41+E42+E43</f>
        <v>3160</v>
      </c>
      <c r="F33" s="184">
        <f t="shared" ref="F33:O33" si="18">F35+F38+F39+F40+F41+F42+F43</f>
        <v>4064.4</v>
      </c>
      <c r="G33" s="184">
        <f t="shared" si="18"/>
        <v>4578.8</v>
      </c>
      <c r="H33" s="184">
        <f t="shared" si="18"/>
        <v>3458.1</v>
      </c>
      <c r="I33" s="184">
        <f t="shared" si="18"/>
        <v>2908.2400000000002</v>
      </c>
      <c r="J33" s="184">
        <f t="shared" si="18"/>
        <v>3378.7</v>
      </c>
      <c r="K33" s="184">
        <f t="shared" si="18"/>
        <v>3977.9</v>
      </c>
      <c r="L33" s="184">
        <f>L35+L38+L39+L40+L41+L42+L43+L36</f>
        <v>5940.9400000000005</v>
      </c>
      <c r="M33" s="197">
        <f>M35+M38+M39+M40+M41+M42+M43+M37</f>
        <v>26089.989999999998</v>
      </c>
      <c r="N33" s="195">
        <f>N35+N38+N39+N40+N41+N42+N43+N37</f>
        <v>66169</v>
      </c>
      <c r="O33" s="184">
        <f t="shared" si="18"/>
        <v>25501</v>
      </c>
    </row>
    <row r="34" spans="1:18" s="116" customFormat="1" ht="24.75" customHeight="1" x14ac:dyDescent="0.35">
      <c r="A34" s="250"/>
      <c r="B34" s="250"/>
      <c r="C34" s="117" t="s">
        <v>177</v>
      </c>
      <c r="D34" s="184"/>
      <c r="E34" s="184"/>
      <c r="F34" s="184"/>
      <c r="G34" s="184"/>
      <c r="H34" s="184"/>
      <c r="I34" s="184"/>
      <c r="J34" s="184"/>
      <c r="K34" s="184"/>
      <c r="L34" s="81"/>
      <c r="M34" s="81"/>
      <c r="N34" s="81"/>
      <c r="O34" s="81"/>
    </row>
    <row r="35" spans="1:18" s="116" customFormat="1" ht="37.5" customHeight="1" x14ac:dyDescent="0.35">
      <c r="A35" s="250"/>
      <c r="B35" s="250"/>
      <c r="C35" s="119" t="s">
        <v>166</v>
      </c>
      <c r="D35" s="184">
        <f>E35+F35+G35+H35+I35+J35+K35+L35+M35+N35+O35</f>
        <v>68993.679999999993</v>
      </c>
      <c r="E35" s="184">
        <v>698</v>
      </c>
      <c r="F35" s="184">
        <v>528.4</v>
      </c>
      <c r="G35" s="184">
        <v>262</v>
      </c>
      <c r="H35" s="184">
        <v>270.10000000000002</v>
      </c>
      <c r="I35" s="184">
        <v>555.34</v>
      </c>
      <c r="J35" s="184">
        <v>409.9</v>
      </c>
      <c r="K35" s="184">
        <f>261.5+401.5</f>
        <v>663</v>
      </c>
      <c r="L35" s="81">
        <v>1266.94</v>
      </c>
      <c r="M35" s="81">
        <v>3494</v>
      </c>
      <c r="N35" s="81">
        <f>14950+84+23060</f>
        <v>38094</v>
      </c>
      <c r="O35" s="81">
        <f>84+22379+289</f>
        <v>22752</v>
      </c>
      <c r="P35" s="118"/>
    </row>
    <row r="36" spans="1:18" s="116" customFormat="1" ht="37.5" customHeight="1" x14ac:dyDescent="0.35">
      <c r="A36" s="250"/>
      <c r="B36" s="250"/>
      <c r="C36" s="119" t="s">
        <v>264</v>
      </c>
      <c r="D36" s="184">
        <v>0</v>
      </c>
      <c r="E36" s="184">
        <v>0</v>
      </c>
      <c r="F36" s="184">
        <v>0</v>
      </c>
      <c r="G36" s="184">
        <v>0</v>
      </c>
      <c r="H36" s="184">
        <v>0</v>
      </c>
      <c r="I36" s="184">
        <v>0</v>
      </c>
      <c r="J36" s="184">
        <v>0</v>
      </c>
      <c r="K36" s="184">
        <v>0</v>
      </c>
      <c r="L36" s="81">
        <v>0</v>
      </c>
      <c r="M36" s="81" t="s">
        <v>170</v>
      </c>
      <c r="N36" s="81" t="s">
        <v>170</v>
      </c>
      <c r="O36" s="81" t="s">
        <v>170</v>
      </c>
      <c r="P36" s="118"/>
      <c r="Q36" s="150">
        <f>L38+L39+L40+L43</f>
        <v>4674</v>
      </c>
      <c r="R36" s="150">
        <f>M38+M39+M40+M43</f>
        <v>5711.99</v>
      </c>
    </row>
    <row r="37" spans="1:18" s="116" customFormat="1" ht="37.5" customHeight="1" x14ac:dyDescent="0.35">
      <c r="A37" s="250"/>
      <c r="B37" s="250"/>
      <c r="C37" s="119" t="s">
        <v>289</v>
      </c>
      <c r="D37" s="184">
        <f>M37+N37+O37</f>
        <v>42210</v>
      </c>
      <c r="E37" s="184" t="s">
        <v>170</v>
      </c>
      <c r="F37" s="184" t="s">
        <v>170</v>
      </c>
      <c r="G37" s="184" t="s">
        <v>170</v>
      </c>
      <c r="H37" s="184" t="s">
        <v>170</v>
      </c>
      <c r="I37" s="184" t="s">
        <v>170</v>
      </c>
      <c r="J37" s="184" t="s">
        <v>170</v>
      </c>
      <c r="K37" s="184" t="s">
        <v>170</v>
      </c>
      <c r="L37" s="81" t="s">
        <v>170</v>
      </c>
      <c r="M37" s="81">
        <v>16884</v>
      </c>
      <c r="N37" s="81">
        <v>25326</v>
      </c>
      <c r="O37" s="81">
        <v>0</v>
      </c>
      <c r="P37" s="118"/>
      <c r="Q37" s="150"/>
      <c r="R37" s="150"/>
    </row>
    <row r="38" spans="1:18" s="116" customFormat="1" ht="32.25" customHeight="1" x14ac:dyDescent="0.35">
      <c r="A38" s="250"/>
      <c r="B38" s="250"/>
      <c r="C38" s="119" t="s">
        <v>140</v>
      </c>
      <c r="D38" s="184">
        <f t="shared" ref="D38:D43" si="19">E38+F38+G38+H38+I38+J38+K38+L38+M38+N38+O38</f>
        <v>18182.989999999998</v>
      </c>
      <c r="E38" s="184">
        <v>800</v>
      </c>
      <c r="F38" s="184">
        <v>897</v>
      </c>
      <c r="G38" s="184">
        <v>1079.9000000000001</v>
      </c>
      <c r="H38" s="184">
        <v>1101</v>
      </c>
      <c r="I38" s="184">
        <v>1545.9</v>
      </c>
      <c r="J38" s="184">
        <v>1797.8</v>
      </c>
      <c r="K38" s="184">
        <v>2338.9</v>
      </c>
      <c r="L38" s="81">
        <v>2850</v>
      </c>
      <c r="M38" s="81">
        <v>3812.49</v>
      </c>
      <c r="N38" s="81">
        <v>980</v>
      </c>
      <c r="O38" s="81">
        <v>980</v>
      </c>
    </row>
    <row r="39" spans="1:18" s="116" customFormat="1" ht="41.25" customHeight="1" x14ac:dyDescent="0.35">
      <c r="A39" s="250"/>
      <c r="B39" s="250"/>
      <c r="C39" s="119" t="s">
        <v>141</v>
      </c>
      <c r="D39" s="184">
        <f t="shared" si="19"/>
        <v>4104.8999999999996</v>
      </c>
      <c r="E39" s="184">
        <v>545</v>
      </c>
      <c r="F39" s="184">
        <v>528</v>
      </c>
      <c r="G39" s="184">
        <v>613.9</v>
      </c>
      <c r="H39" s="184">
        <v>293</v>
      </c>
      <c r="I39" s="184">
        <v>0</v>
      </c>
      <c r="J39" s="184">
        <v>92</v>
      </c>
      <c r="K39" s="184">
        <v>46</v>
      </c>
      <c r="L39" s="81">
        <v>543</v>
      </c>
      <c r="M39" s="81">
        <v>618</v>
      </c>
      <c r="N39" s="81">
        <v>413</v>
      </c>
      <c r="O39" s="81">
        <v>413</v>
      </c>
      <c r="R39" s="118"/>
    </row>
    <row r="40" spans="1:18" s="116" customFormat="1" ht="35.25" customHeight="1" x14ac:dyDescent="0.35">
      <c r="A40" s="250"/>
      <c r="B40" s="250"/>
      <c r="C40" s="119" t="s">
        <v>142</v>
      </c>
      <c r="D40" s="184">
        <f t="shared" si="19"/>
        <v>6389.5</v>
      </c>
      <c r="E40" s="184">
        <v>299</v>
      </c>
      <c r="F40" s="184">
        <v>534</v>
      </c>
      <c r="G40" s="184">
        <v>692</v>
      </c>
      <c r="H40" s="184">
        <v>694</v>
      </c>
      <c r="I40" s="184">
        <v>694</v>
      </c>
      <c r="J40" s="184">
        <v>544</v>
      </c>
      <c r="K40" s="184">
        <v>303</v>
      </c>
      <c r="L40" s="81">
        <v>622</v>
      </c>
      <c r="M40" s="81">
        <v>619.5</v>
      </c>
      <c r="N40" s="81">
        <v>694</v>
      </c>
      <c r="O40" s="81">
        <v>694</v>
      </c>
    </row>
    <row r="41" spans="1:18" s="116" customFormat="1" ht="35.25" customHeight="1" x14ac:dyDescent="0.35">
      <c r="A41" s="250"/>
      <c r="B41" s="250"/>
      <c r="C41" s="119" t="s">
        <v>143</v>
      </c>
      <c r="D41" s="184">
        <f t="shared" si="19"/>
        <v>1250</v>
      </c>
      <c r="E41" s="184">
        <v>315</v>
      </c>
      <c r="F41" s="184">
        <v>229</v>
      </c>
      <c r="G41" s="184">
        <v>353</v>
      </c>
      <c r="H41" s="184">
        <v>353</v>
      </c>
      <c r="I41" s="184">
        <v>0</v>
      </c>
      <c r="J41" s="184">
        <v>0</v>
      </c>
      <c r="K41" s="184">
        <v>0</v>
      </c>
      <c r="L41" s="81">
        <v>0</v>
      </c>
      <c r="M41" s="81">
        <v>0</v>
      </c>
      <c r="N41" s="81">
        <v>0</v>
      </c>
      <c r="O41" s="81">
        <v>0</v>
      </c>
      <c r="Q41" s="118"/>
    </row>
    <row r="42" spans="1:18" s="116" customFormat="1" ht="33.75" customHeight="1" x14ac:dyDescent="0.35">
      <c r="A42" s="250"/>
      <c r="B42" s="250"/>
      <c r="C42" s="119" t="s">
        <v>144</v>
      </c>
      <c r="D42" s="184">
        <f t="shared" si="19"/>
        <v>100</v>
      </c>
      <c r="E42" s="184">
        <v>100</v>
      </c>
      <c r="F42" s="184">
        <v>0</v>
      </c>
      <c r="G42" s="184">
        <v>0</v>
      </c>
      <c r="H42" s="184">
        <v>0</v>
      </c>
      <c r="I42" s="184">
        <v>0</v>
      </c>
      <c r="J42" s="184">
        <v>0</v>
      </c>
      <c r="K42" s="184">
        <v>0</v>
      </c>
      <c r="L42" s="81">
        <v>0</v>
      </c>
      <c r="M42" s="81">
        <v>0</v>
      </c>
      <c r="N42" s="81">
        <v>0</v>
      </c>
      <c r="O42" s="81">
        <v>0</v>
      </c>
    </row>
    <row r="43" spans="1:18" s="116" customFormat="1" ht="30.75" customHeight="1" x14ac:dyDescent="0.35">
      <c r="A43" s="250"/>
      <c r="B43" s="250"/>
      <c r="C43" s="119" t="s">
        <v>145</v>
      </c>
      <c r="D43" s="184">
        <f t="shared" si="19"/>
        <v>7996</v>
      </c>
      <c r="E43" s="184">
        <v>403</v>
      </c>
      <c r="F43" s="184">
        <v>1348</v>
      </c>
      <c r="G43" s="184">
        <v>1578</v>
      </c>
      <c r="H43" s="184">
        <v>747</v>
      </c>
      <c r="I43" s="184">
        <v>113</v>
      </c>
      <c r="J43" s="184">
        <v>535</v>
      </c>
      <c r="K43" s="184">
        <v>627</v>
      </c>
      <c r="L43" s="81">
        <v>659</v>
      </c>
      <c r="M43" s="81">
        <v>662</v>
      </c>
      <c r="N43" s="81">
        <v>662</v>
      </c>
      <c r="O43" s="81">
        <v>662</v>
      </c>
    </row>
    <row r="44" spans="1:18" s="116" customFormat="1" ht="33" customHeight="1" x14ac:dyDescent="0.35">
      <c r="A44" s="261" t="s">
        <v>29</v>
      </c>
      <c r="B44" s="261" t="s">
        <v>87</v>
      </c>
      <c r="C44" s="117" t="s">
        <v>0</v>
      </c>
      <c r="D44" s="184">
        <f>SUM(E44:O44)</f>
        <v>102018.16</v>
      </c>
      <c r="E44" s="184">
        <f>E51+E52</f>
        <v>2311</v>
      </c>
      <c r="F44" s="184">
        <f>SUM(F51:F52)</f>
        <v>2006.2</v>
      </c>
      <c r="G44" s="184">
        <f>SUM(G46:G52)</f>
        <v>8463.7999999999993</v>
      </c>
      <c r="H44" s="184">
        <f>SUM(H46:H53)</f>
        <v>3213.8</v>
      </c>
      <c r="I44" s="184">
        <f>SUM(I46:I52)</f>
        <v>7499</v>
      </c>
      <c r="J44" s="184">
        <f t="shared" ref="J44:K44" si="20">SUM(J46:J53)</f>
        <v>3203.3</v>
      </c>
      <c r="K44" s="184">
        <f t="shared" si="20"/>
        <v>3384.9</v>
      </c>
      <c r="L44" s="184">
        <f>SUM(L46:L52)</f>
        <v>10120.36</v>
      </c>
      <c r="M44" s="197">
        <f>SUM(M46:M52)</f>
        <v>21192.799999999999</v>
      </c>
      <c r="N44" s="195">
        <f>SUM(N46:N52)</f>
        <v>20310</v>
      </c>
      <c r="O44" s="184">
        <f>SUM(O46:O52)</f>
        <v>20313</v>
      </c>
    </row>
    <row r="45" spans="1:18" s="116" customFormat="1" ht="27.75" customHeight="1" x14ac:dyDescent="0.35">
      <c r="A45" s="262"/>
      <c r="B45" s="262"/>
      <c r="C45" s="117" t="s">
        <v>177</v>
      </c>
      <c r="D45" s="184"/>
      <c r="E45" s="184"/>
      <c r="F45" s="184"/>
      <c r="G45" s="184"/>
      <c r="H45" s="184"/>
      <c r="I45" s="184"/>
      <c r="J45" s="184"/>
      <c r="K45" s="184"/>
      <c r="L45" s="81"/>
      <c r="M45" s="81"/>
      <c r="N45" s="81"/>
      <c r="O45" s="81"/>
    </row>
    <row r="46" spans="1:18" s="116" customFormat="1" ht="25.5" customHeight="1" x14ac:dyDescent="0.35">
      <c r="A46" s="262"/>
      <c r="B46" s="262"/>
      <c r="C46" s="117" t="s">
        <v>140</v>
      </c>
      <c r="D46" s="184">
        <f t="shared" ref="D46:D52" si="21">SUM(E46:O46)</f>
        <v>450</v>
      </c>
      <c r="E46" s="184">
        <v>0</v>
      </c>
      <c r="F46" s="184">
        <v>0</v>
      </c>
      <c r="G46" s="184">
        <v>50</v>
      </c>
      <c r="H46" s="184">
        <v>0</v>
      </c>
      <c r="I46" s="184">
        <v>100</v>
      </c>
      <c r="J46" s="184">
        <v>0</v>
      </c>
      <c r="K46" s="184">
        <v>0</v>
      </c>
      <c r="L46" s="81">
        <v>300</v>
      </c>
      <c r="M46" s="81">
        <v>0</v>
      </c>
      <c r="N46" s="81">
        <v>0</v>
      </c>
      <c r="O46" s="81">
        <v>0</v>
      </c>
    </row>
    <row r="47" spans="1:18" s="116" customFormat="1" ht="25.5" customHeight="1" x14ac:dyDescent="0.35">
      <c r="A47" s="262"/>
      <c r="B47" s="262"/>
      <c r="C47" s="117" t="s">
        <v>141</v>
      </c>
      <c r="D47" s="184">
        <f t="shared" si="21"/>
        <v>299</v>
      </c>
      <c r="E47" s="184">
        <v>0</v>
      </c>
      <c r="F47" s="184">
        <v>0</v>
      </c>
      <c r="G47" s="184">
        <v>0</v>
      </c>
      <c r="H47" s="184">
        <v>0</v>
      </c>
      <c r="I47" s="184">
        <v>0</v>
      </c>
      <c r="J47" s="184">
        <v>0</v>
      </c>
      <c r="K47" s="184">
        <v>0</v>
      </c>
      <c r="L47" s="81">
        <v>299</v>
      </c>
      <c r="M47" s="81">
        <v>0</v>
      </c>
      <c r="N47" s="81">
        <v>0</v>
      </c>
      <c r="O47" s="81">
        <v>0</v>
      </c>
    </row>
    <row r="48" spans="1:18" s="116" customFormat="1" ht="31.5" customHeight="1" x14ac:dyDescent="0.35">
      <c r="A48" s="262"/>
      <c r="B48" s="262"/>
      <c r="C48" s="119" t="s">
        <v>142</v>
      </c>
      <c r="D48" s="184">
        <f t="shared" si="21"/>
        <v>400</v>
      </c>
      <c r="E48" s="184">
        <v>0</v>
      </c>
      <c r="F48" s="184">
        <v>0</v>
      </c>
      <c r="G48" s="184">
        <v>0</v>
      </c>
      <c r="H48" s="184">
        <v>0</v>
      </c>
      <c r="I48" s="184">
        <v>100</v>
      </c>
      <c r="J48" s="184">
        <v>0</v>
      </c>
      <c r="K48" s="184">
        <v>0</v>
      </c>
      <c r="L48" s="81">
        <v>300</v>
      </c>
      <c r="M48" s="81">
        <v>0</v>
      </c>
      <c r="N48" s="81">
        <v>0</v>
      </c>
      <c r="O48" s="81">
        <v>0</v>
      </c>
    </row>
    <row r="49" spans="1:15" s="116" customFormat="1" ht="27.75" customHeight="1" x14ac:dyDescent="0.35">
      <c r="A49" s="262"/>
      <c r="B49" s="262"/>
      <c r="C49" s="119" t="s">
        <v>143</v>
      </c>
      <c r="D49" s="184">
        <f t="shared" si="21"/>
        <v>299</v>
      </c>
      <c r="E49" s="184">
        <v>0</v>
      </c>
      <c r="F49" s="184">
        <v>0</v>
      </c>
      <c r="G49" s="184">
        <v>0</v>
      </c>
      <c r="H49" s="184">
        <v>0</v>
      </c>
      <c r="I49" s="184">
        <v>0</v>
      </c>
      <c r="J49" s="184">
        <v>0</v>
      </c>
      <c r="K49" s="184">
        <v>0</v>
      </c>
      <c r="L49" s="81">
        <v>299</v>
      </c>
      <c r="M49" s="81">
        <v>0</v>
      </c>
      <c r="N49" s="81">
        <v>0</v>
      </c>
      <c r="O49" s="81">
        <v>0</v>
      </c>
    </row>
    <row r="50" spans="1:15" s="116" customFormat="1" ht="27.75" customHeight="1" x14ac:dyDescent="0.35">
      <c r="A50" s="262"/>
      <c r="B50" s="262"/>
      <c r="C50" s="119" t="s">
        <v>144</v>
      </c>
      <c r="D50" s="184">
        <f t="shared" si="21"/>
        <v>400</v>
      </c>
      <c r="E50" s="184">
        <v>0</v>
      </c>
      <c r="F50" s="184">
        <v>0</v>
      </c>
      <c r="G50" s="184">
        <v>0</v>
      </c>
      <c r="H50" s="184">
        <v>0</v>
      </c>
      <c r="I50" s="184">
        <v>100</v>
      </c>
      <c r="J50" s="184">
        <v>0</v>
      </c>
      <c r="K50" s="184">
        <v>0</v>
      </c>
      <c r="L50" s="81">
        <v>300</v>
      </c>
      <c r="M50" s="81">
        <v>0</v>
      </c>
      <c r="N50" s="81">
        <v>0</v>
      </c>
      <c r="O50" s="81">
        <v>0</v>
      </c>
    </row>
    <row r="51" spans="1:15" s="116" customFormat="1" ht="27.75" customHeight="1" x14ac:dyDescent="0.35">
      <c r="A51" s="262"/>
      <c r="B51" s="262"/>
      <c r="C51" s="117" t="s">
        <v>145</v>
      </c>
      <c r="D51" s="184">
        <f t="shared" si="21"/>
        <v>1057</v>
      </c>
      <c r="E51" s="184">
        <v>100</v>
      </c>
      <c r="F51" s="184">
        <v>98</v>
      </c>
      <c r="G51" s="184">
        <v>60</v>
      </c>
      <c r="H51" s="184">
        <v>99</v>
      </c>
      <c r="I51" s="184">
        <v>100</v>
      </c>
      <c r="J51" s="184">
        <v>0</v>
      </c>
      <c r="K51" s="184">
        <v>0</v>
      </c>
      <c r="L51" s="81">
        <v>400</v>
      </c>
      <c r="M51" s="81">
        <v>0</v>
      </c>
      <c r="N51" s="81">
        <v>100</v>
      </c>
      <c r="O51" s="81">
        <v>100</v>
      </c>
    </row>
    <row r="52" spans="1:15" s="116" customFormat="1" ht="33" customHeight="1" x14ac:dyDescent="0.35">
      <c r="A52" s="263"/>
      <c r="B52" s="263"/>
      <c r="C52" s="119" t="s">
        <v>166</v>
      </c>
      <c r="D52" s="184">
        <f t="shared" si="21"/>
        <v>99113.16</v>
      </c>
      <c r="E52" s="184">
        <v>2211</v>
      </c>
      <c r="F52" s="184">
        <v>1908.2</v>
      </c>
      <c r="G52" s="184">
        <v>8353.7999999999993</v>
      </c>
      <c r="H52" s="184">
        <v>3114.8</v>
      </c>
      <c r="I52" s="184">
        <v>7099</v>
      </c>
      <c r="J52" s="184">
        <v>3203.3</v>
      </c>
      <c r="K52" s="184">
        <v>3384.9</v>
      </c>
      <c r="L52" s="81">
        <v>8222.36</v>
      </c>
      <c r="M52" s="81">
        <v>21192.799999999999</v>
      </c>
      <c r="N52" s="81">
        <f>14806+2000+967+2437</f>
        <v>20210</v>
      </c>
      <c r="O52" s="81">
        <f>14806+2000+970+2437</f>
        <v>20213</v>
      </c>
    </row>
    <row r="53" spans="1:15" s="116" customFormat="1" ht="39.75" customHeight="1" x14ac:dyDescent="0.35">
      <c r="A53" s="250" t="s">
        <v>152</v>
      </c>
      <c r="B53" s="250" t="s">
        <v>153</v>
      </c>
      <c r="C53" s="117" t="s">
        <v>0</v>
      </c>
      <c r="D53" s="184">
        <f>D55+D56+D57+D58+D59+D60+D61</f>
        <v>53060.1</v>
      </c>
      <c r="E53" s="184">
        <f>SUM(E55:E61)</f>
        <v>0</v>
      </c>
      <c r="F53" s="184">
        <f t="shared" ref="F53:O53" si="22">SUM(F55:F61)</f>
        <v>0</v>
      </c>
      <c r="G53" s="184">
        <f t="shared" si="22"/>
        <v>0</v>
      </c>
      <c r="H53" s="184">
        <f t="shared" si="22"/>
        <v>0</v>
      </c>
      <c r="I53" s="184">
        <f t="shared" si="22"/>
        <v>0</v>
      </c>
      <c r="J53" s="184">
        <f t="shared" si="22"/>
        <v>0</v>
      </c>
      <c r="K53" s="184">
        <f t="shared" si="22"/>
        <v>0</v>
      </c>
      <c r="L53" s="77">
        <f t="shared" si="22"/>
        <v>3957</v>
      </c>
      <c r="M53" s="77">
        <f>SUM(M55:M61)</f>
        <v>22605.1</v>
      </c>
      <c r="N53" s="77">
        <f t="shared" si="22"/>
        <v>26498</v>
      </c>
      <c r="O53" s="77">
        <f t="shared" si="22"/>
        <v>0</v>
      </c>
    </row>
    <row r="54" spans="1:15" s="116" customFormat="1" ht="24.75" customHeight="1" x14ac:dyDescent="0.35">
      <c r="A54" s="250"/>
      <c r="B54" s="250"/>
      <c r="C54" s="117" t="s">
        <v>177</v>
      </c>
      <c r="D54" s="184"/>
      <c r="E54" s="184"/>
      <c r="F54" s="184"/>
      <c r="G54" s="184"/>
      <c r="H54" s="184"/>
      <c r="I54" s="184"/>
      <c r="J54" s="184"/>
      <c r="K54" s="184"/>
      <c r="L54" s="81"/>
      <c r="M54" s="81"/>
      <c r="N54" s="81"/>
      <c r="O54" s="81"/>
    </row>
    <row r="55" spans="1:15" s="116" customFormat="1" ht="37.5" customHeight="1" x14ac:dyDescent="0.35">
      <c r="A55" s="250"/>
      <c r="B55" s="250"/>
      <c r="C55" s="117" t="s">
        <v>168</v>
      </c>
      <c r="D55" s="184">
        <f>L55+M55+N55+O55</f>
        <v>53060.1</v>
      </c>
      <c r="E55" s="184">
        <v>0</v>
      </c>
      <c r="F55" s="184">
        <v>0</v>
      </c>
      <c r="G55" s="184">
        <v>0</v>
      </c>
      <c r="H55" s="184">
        <v>0</v>
      </c>
      <c r="I55" s="184">
        <v>0</v>
      </c>
      <c r="J55" s="184">
        <v>0</v>
      </c>
      <c r="K55" s="184">
        <v>0</v>
      </c>
      <c r="L55" s="81">
        <v>3957</v>
      </c>
      <c r="M55" s="81">
        <v>22605.1</v>
      </c>
      <c r="N55" s="81">
        <v>26498</v>
      </c>
      <c r="O55" s="81">
        <v>0</v>
      </c>
    </row>
    <row r="56" spans="1:15" s="116" customFormat="1" ht="37.5" customHeight="1" x14ac:dyDescent="0.35">
      <c r="A56" s="250"/>
      <c r="B56" s="250"/>
      <c r="C56" s="119" t="s">
        <v>140</v>
      </c>
      <c r="D56" s="184">
        <f t="shared" ref="D56:D61" si="23">L56+M56+N56+O56</f>
        <v>0</v>
      </c>
      <c r="E56" s="184">
        <v>0</v>
      </c>
      <c r="F56" s="184">
        <v>0</v>
      </c>
      <c r="G56" s="184">
        <v>0</v>
      </c>
      <c r="H56" s="184">
        <v>0</v>
      </c>
      <c r="I56" s="184">
        <v>0</v>
      </c>
      <c r="J56" s="184">
        <v>0</v>
      </c>
      <c r="K56" s="184">
        <v>0</v>
      </c>
      <c r="L56" s="81">
        <v>0</v>
      </c>
      <c r="M56" s="81">
        <v>0</v>
      </c>
      <c r="N56" s="81">
        <v>0</v>
      </c>
      <c r="O56" s="81">
        <v>0</v>
      </c>
    </row>
    <row r="57" spans="1:15" s="116" customFormat="1" ht="45" customHeight="1" x14ac:dyDescent="0.35">
      <c r="A57" s="250"/>
      <c r="B57" s="250"/>
      <c r="C57" s="119" t="s">
        <v>141</v>
      </c>
      <c r="D57" s="184">
        <f t="shared" si="23"/>
        <v>0</v>
      </c>
      <c r="E57" s="184">
        <v>0</v>
      </c>
      <c r="F57" s="184">
        <v>0</v>
      </c>
      <c r="G57" s="184">
        <v>0</v>
      </c>
      <c r="H57" s="184">
        <v>0</v>
      </c>
      <c r="I57" s="184">
        <v>0</v>
      </c>
      <c r="J57" s="184">
        <v>0</v>
      </c>
      <c r="K57" s="184">
        <v>0</v>
      </c>
      <c r="L57" s="81">
        <v>0</v>
      </c>
      <c r="M57" s="81">
        <v>0</v>
      </c>
      <c r="N57" s="81">
        <v>0</v>
      </c>
      <c r="O57" s="81">
        <v>0</v>
      </c>
    </row>
    <row r="58" spans="1:15" s="116" customFormat="1" ht="41.25" customHeight="1" x14ac:dyDescent="0.35">
      <c r="A58" s="250"/>
      <c r="B58" s="250"/>
      <c r="C58" s="119" t="s">
        <v>142</v>
      </c>
      <c r="D58" s="184">
        <f t="shared" si="23"/>
        <v>0</v>
      </c>
      <c r="E58" s="184">
        <v>0</v>
      </c>
      <c r="F58" s="184">
        <v>0</v>
      </c>
      <c r="G58" s="184">
        <v>0</v>
      </c>
      <c r="H58" s="184">
        <v>0</v>
      </c>
      <c r="I58" s="184">
        <v>0</v>
      </c>
      <c r="J58" s="184">
        <v>0</v>
      </c>
      <c r="K58" s="184">
        <v>0</v>
      </c>
      <c r="L58" s="81">
        <v>0</v>
      </c>
      <c r="M58" s="81">
        <v>0</v>
      </c>
      <c r="N58" s="81">
        <v>0</v>
      </c>
      <c r="O58" s="81">
        <v>0</v>
      </c>
    </row>
    <row r="59" spans="1:15" s="116" customFormat="1" ht="39" customHeight="1" x14ac:dyDescent="0.35">
      <c r="A59" s="250"/>
      <c r="B59" s="250"/>
      <c r="C59" s="119" t="s">
        <v>143</v>
      </c>
      <c r="D59" s="184">
        <f t="shared" si="23"/>
        <v>0</v>
      </c>
      <c r="E59" s="184">
        <v>0</v>
      </c>
      <c r="F59" s="184">
        <v>0</v>
      </c>
      <c r="G59" s="184">
        <v>0</v>
      </c>
      <c r="H59" s="184">
        <v>0</v>
      </c>
      <c r="I59" s="184">
        <v>0</v>
      </c>
      <c r="J59" s="184">
        <v>0</v>
      </c>
      <c r="K59" s="184">
        <v>0</v>
      </c>
      <c r="L59" s="81">
        <v>0</v>
      </c>
      <c r="M59" s="81">
        <v>0</v>
      </c>
      <c r="N59" s="81">
        <v>0</v>
      </c>
      <c r="O59" s="81">
        <v>0</v>
      </c>
    </row>
    <row r="60" spans="1:15" s="116" customFormat="1" ht="41.25" customHeight="1" x14ac:dyDescent="0.35">
      <c r="A60" s="250"/>
      <c r="B60" s="250"/>
      <c r="C60" s="119" t="s">
        <v>144</v>
      </c>
      <c r="D60" s="184">
        <f t="shared" si="23"/>
        <v>0</v>
      </c>
      <c r="E60" s="184">
        <v>0</v>
      </c>
      <c r="F60" s="184">
        <v>0</v>
      </c>
      <c r="G60" s="184">
        <v>0</v>
      </c>
      <c r="H60" s="184">
        <v>0</v>
      </c>
      <c r="I60" s="184">
        <v>0</v>
      </c>
      <c r="J60" s="184">
        <v>0</v>
      </c>
      <c r="K60" s="184">
        <v>0</v>
      </c>
      <c r="L60" s="81">
        <v>0</v>
      </c>
      <c r="M60" s="81">
        <v>0</v>
      </c>
      <c r="N60" s="81">
        <v>0</v>
      </c>
      <c r="O60" s="81">
        <v>0</v>
      </c>
    </row>
    <row r="61" spans="1:15" s="116" customFormat="1" ht="41.25" customHeight="1" x14ac:dyDescent="0.35">
      <c r="A61" s="250"/>
      <c r="B61" s="250"/>
      <c r="C61" s="119" t="s">
        <v>145</v>
      </c>
      <c r="D61" s="184">
        <f t="shared" si="23"/>
        <v>0</v>
      </c>
      <c r="E61" s="184">
        <v>0</v>
      </c>
      <c r="F61" s="184">
        <v>0</v>
      </c>
      <c r="G61" s="184">
        <v>0</v>
      </c>
      <c r="H61" s="184">
        <v>0</v>
      </c>
      <c r="I61" s="184">
        <v>0</v>
      </c>
      <c r="J61" s="184">
        <v>0</v>
      </c>
      <c r="K61" s="184">
        <v>0</v>
      </c>
      <c r="L61" s="81">
        <v>0</v>
      </c>
      <c r="M61" s="81">
        <v>0</v>
      </c>
      <c r="N61" s="81">
        <v>0</v>
      </c>
      <c r="O61" s="81">
        <v>0</v>
      </c>
    </row>
    <row r="62" spans="1:15" s="82" customFormat="1" ht="1.5" customHeight="1" x14ac:dyDescent="0.3">
      <c r="A62" s="122"/>
      <c r="B62" s="122"/>
      <c r="C62" s="123"/>
      <c r="D62" s="78"/>
      <c r="E62" s="78"/>
      <c r="F62" s="78"/>
      <c r="G62" s="78"/>
      <c r="H62" s="78"/>
      <c r="I62" s="78"/>
      <c r="J62" s="78"/>
      <c r="K62" s="78"/>
    </row>
    <row r="63" spans="1:15" s="82" customFormat="1" ht="13.5" customHeight="1" x14ac:dyDescent="0.3">
      <c r="A63" s="122"/>
      <c r="B63" s="122"/>
      <c r="C63" s="123"/>
      <c r="D63" s="78"/>
      <c r="E63" s="78"/>
      <c r="F63" s="78"/>
      <c r="G63" s="78"/>
      <c r="H63" s="78"/>
      <c r="I63" s="78"/>
      <c r="J63" s="78"/>
      <c r="K63" s="78"/>
    </row>
    <row r="64" spans="1:15" s="83" customFormat="1" ht="39.75" customHeight="1" x14ac:dyDescent="0.5">
      <c r="A64" s="256" t="s">
        <v>336</v>
      </c>
      <c r="B64" s="256"/>
      <c r="C64" s="256"/>
      <c r="D64" s="124"/>
      <c r="E64" s="181"/>
      <c r="F64" s="181"/>
      <c r="G64" s="248" t="s">
        <v>334</v>
      </c>
      <c r="H64" s="248"/>
      <c r="I64" s="248"/>
      <c r="J64" s="248"/>
      <c r="K64" s="248"/>
    </row>
    <row r="65" spans="1:11" s="83" customFormat="1" ht="39.75" customHeight="1" x14ac:dyDescent="0.5">
      <c r="A65" s="256"/>
      <c r="B65" s="256"/>
      <c r="C65" s="256"/>
      <c r="D65" s="124"/>
      <c r="E65" s="181"/>
      <c r="F65" s="181"/>
      <c r="G65" s="248"/>
      <c r="H65" s="248"/>
      <c r="I65" s="248"/>
      <c r="J65" s="248"/>
      <c r="K65" s="248"/>
    </row>
  </sheetData>
  <mergeCells count="19">
    <mergeCell ref="A5:O5"/>
    <mergeCell ref="L2:O4"/>
    <mergeCell ref="B53:B61"/>
    <mergeCell ref="B44:B52"/>
    <mergeCell ref="A44:A52"/>
    <mergeCell ref="H2:K4"/>
    <mergeCell ref="G64:K65"/>
    <mergeCell ref="C6:C7"/>
    <mergeCell ref="A8:A20"/>
    <mergeCell ref="B8:B20"/>
    <mergeCell ref="A21:A32"/>
    <mergeCell ref="B21:B32"/>
    <mergeCell ref="A6:A7"/>
    <mergeCell ref="B6:B7"/>
    <mergeCell ref="A33:A43"/>
    <mergeCell ref="B33:B43"/>
    <mergeCell ref="A53:A61"/>
    <mergeCell ref="D6:O6"/>
    <mergeCell ref="A64:C65"/>
  </mergeCells>
  <printOptions horizontalCentered="1"/>
  <pageMargins left="0.39370078740157483" right="0.39370078740157483" top="1.1811023622047245" bottom="0.39370078740157483" header="0.27559055118110237" footer="0.27559055118110237"/>
  <pageSetup paperSize="9" scale="39" firstPageNumber="163" fitToHeight="0" orientation="landscape" r:id="rId1"/>
  <headerFooter differentFirst="1" scaleWithDoc="0">
    <oddHeader>&amp;C&amp;P</oddHeader>
  </headerFooter>
  <rowBreaks count="1" manualBreakCount="1">
    <brk id="31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62"/>
  <sheetViews>
    <sheetView view="pageBreakPreview" topLeftCell="A4" zoomScale="64" zoomScaleNormal="69" zoomScaleSheetLayoutView="64" workbookViewId="0">
      <selection activeCell="F30" sqref="F30"/>
    </sheetView>
  </sheetViews>
  <sheetFormatPr defaultRowHeight="18.75" x14ac:dyDescent="0.3"/>
  <cols>
    <col min="1" max="1" width="26.28515625" style="79" customWidth="1"/>
    <col min="2" max="2" width="46.28515625" style="79" customWidth="1"/>
    <col min="3" max="3" width="61.85546875" style="79" customWidth="1"/>
    <col min="4" max="4" width="21.140625" style="79" customWidth="1"/>
    <col min="5" max="6" width="19.140625" style="75" customWidth="1"/>
    <col min="7" max="10" width="20.42578125" style="75" customWidth="1"/>
    <col min="11" max="11" width="31.5703125" style="79" customWidth="1"/>
    <col min="12" max="12" width="20.140625" style="79" customWidth="1"/>
    <col min="13" max="13" width="12.140625" style="79" bestFit="1" customWidth="1"/>
    <col min="14" max="236" width="9.140625" style="79"/>
    <col min="237" max="237" width="0" style="79" hidden="1" customWidth="1"/>
    <col min="238" max="238" width="21.7109375" style="79" customWidth="1"/>
    <col min="239" max="239" width="48.140625" style="79" customWidth="1"/>
    <col min="240" max="240" width="29.7109375" style="79" customWidth="1"/>
    <col min="241" max="241" width="11.42578125" style="79" customWidth="1"/>
    <col min="242" max="242" width="7.5703125" style="79" customWidth="1"/>
    <col min="243" max="243" width="11.7109375" style="79" customWidth="1"/>
    <col min="244" max="244" width="7.140625" style="79" customWidth="1"/>
    <col min="245" max="245" width="0" style="79" hidden="1" customWidth="1"/>
    <col min="246" max="247" width="19.140625" style="79" customWidth="1"/>
    <col min="248" max="248" width="20.42578125" style="79" customWidth="1"/>
    <col min="249" max="249" width="20.85546875" style="79" customWidth="1"/>
    <col min="250" max="251" width="22" style="79" customWidth="1"/>
    <col min="252" max="252" width="0" style="79" hidden="1" customWidth="1"/>
    <col min="253" max="253" width="27.28515625" style="79" customWidth="1"/>
    <col min="254" max="254" width="18.140625" style="79" bestFit="1" customWidth="1"/>
    <col min="255" max="255" width="11.42578125" style="79" bestFit="1" customWidth="1"/>
    <col min="256" max="256" width="11.5703125" style="79" bestFit="1" customWidth="1"/>
    <col min="257" max="492" width="9.140625" style="79"/>
    <col min="493" max="493" width="0" style="79" hidden="1" customWidth="1"/>
    <col min="494" max="494" width="21.7109375" style="79" customWidth="1"/>
    <col min="495" max="495" width="48.140625" style="79" customWidth="1"/>
    <col min="496" max="496" width="29.7109375" style="79" customWidth="1"/>
    <col min="497" max="497" width="11.42578125" style="79" customWidth="1"/>
    <col min="498" max="498" width="7.5703125" style="79" customWidth="1"/>
    <col min="499" max="499" width="11.7109375" style="79" customWidth="1"/>
    <col min="500" max="500" width="7.140625" style="79" customWidth="1"/>
    <col min="501" max="501" width="0" style="79" hidden="1" customWidth="1"/>
    <col min="502" max="503" width="19.140625" style="79" customWidth="1"/>
    <col min="504" max="504" width="20.42578125" style="79" customWidth="1"/>
    <col min="505" max="505" width="20.85546875" style="79" customWidth="1"/>
    <col min="506" max="507" width="22" style="79" customWidth="1"/>
    <col min="508" max="508" width="0" style="79" hidden="1" customWidth="1"/>
    <col min="509" max="509" width="27.28515625" style="79" customWidth="1"/>
    <col min="510" max="510" width="18.140625" style="79" bestFit="1" customWidth="1"/>
    <col min="511" max="511" width="11.42578125" style="79" bestFit="1" customWidth="1"/>
    <col min="512" max="512" width="11.5703125" style="79" bestFit="1" customWidth="1"/>
    <col min="513" max="748" width="9.140625" style="79"/>
    <col min="749" max="749" width="0" style="79" hidden="1" customWidth="1"/>
    <col min="750" max="750" width="21.7109375" style="79" customWidth="1"/>
    <col min="751" max="751" width="48.140625" style="79" customWidth="1"/>
    <col min="752" max="752" width="29.7109375" style="79" customWidth="1"/>
    <col min="753" max="753" width="11.42578125" style="79" customWidth="1"/>
    <col min="754" max="754" width="7.5703125" style="79" customWidth="1"/>
    <col min="755" max="755" width="11.7109375" style="79" customWidth="1"/>
    <col min="756" max="756" width="7.140625" style="79" customWidth="1"/>
    <col min="757" max="757" width="0" style="79" hidden="1" customWidth="1"/>
    <col min="758" max="759" width="19.140625" style="79" customWidth="1"/>
    <col min="760" max="760" width="20.42578125" style="79" customWidth="1"/>
    <col min="761" max="761" width="20.85546875" style="79" customWidth="1"/>
    <col min="762" max="763" width="22" style="79" customWidth="1"/>
    <col min="764" max="764" width="0" style="79" hidden="1" customWidth="1"/>
    <col min="765" max="765" width="27.28515625" style="79" customWidth="1"/>
    <col min="766" max="766" width="18.140625" style="79" bestFit="1" customWidth="1"/>
    <col min="767" max="767" width="11.42578125" style="79" bestFit="1" customWidth="1"/>
    <col min="768" max="768" width="11.5703125" style="79" bestFit="1" customWidth="1"/>
    <col min="769" max="1004" width="9.140625" style="79"/>
    <col min="1005" max="1005" width="0" style="79" hidden="1" customWidth="1"/>
    <col min="1006" max="1006" width="21.7109375" style="79" customWidth="1"/>
    <col min="1007" max="1007" width="48.140625" style="79" customWidth="1"/>
    <col min="1008" max="1008" width="29.7109375" style="79" customWidth="1"/>
    <col min="1009" max="1009" width="11.42578125" style="79" customWidth="1"/>
    <col min="1010" max="1010" width="7.5703125" style="79" customWidth="1"/>
    <col min="1011" max="1011" width="11.7109375" style="79" customWidth="1"/>
    <col min="1012" max="1012" width="7.140625" style="79" customWidth="1"/>
    <col min="1013" max="1013" width="0" style="79" hidden="1" customWidth="1"/>
    <col min="1014" max="1015" width="19.140625" style="79" customWidth="1"/>
    <col min="1016" max="1016" width="20.42578125" style="79" customWidth="1"/>
    <col min="1017" max="1017" width="20.85546875" style="79" customWidth="1"/>
    <col min="1018" max="1019" width="22" style="79" customWidth="1"/>
    <col min="1020" max="1020" width="0" style="79" hidden="1" customWidth="1"/>
    <col min="1021" max="1021" width="27.28515625" style="79" customWidth="1"/>
    <col min="1022" max="1022" width="18.140625" style="79" bestFit="1" customWidth="1"/>
    <col min="1023" max="1023" width="11.42578125" style="79" bestFit="1" customWidth="1"/>
    <col min="1024" max="1024" width="11.5703125" style="79" bestFit="1" customWidth="1"/>
    <col min="1025" max="1260" width="9.140625" style="79"/>
    <col min="1261" max="1261" width="0" style="79" hidden="1" customWidth="1"/>
    <col min="1262" max="1262" width="21.7109375" style="79" customWidth="1"/>
    <col min="1263" max="1263" width="48.140625" style="79" customWidth="1"/>
    <col min="1264" max="1264" width="29.7109375" style="79" customWidth="1"/>
    <col min="1265" max="1265" width="11.42578125" style="79" customWidth="1"/>
    <col min="1266" max="1266" width="7.5703125" style="79" customWidth="1"/>
    <col min="1267" max="1267" width="11.7109375" style="79" customWidth="1"/>
    <col min="1268" max="1268" width="7.140625" style="79" customWidth="1"/>
    <col min="1269" max="1269" width="0" style="79" hidden="1" customWidth="1"/>
    <col min="1270" max="1271" width="19.140625" style="79" customWidth="1"/>
    <col min="1272" max="1272" width="20.42578125" style="79" customWidth="1"/>
    <col min="1273" max="1273" width="20.85546875" style="79" customWidth="1"/>
    <col min="1274" max="1275" width="22" style="79" customWidth="1"/>
    <col min="1276" max="1276" width="0" style="79" hidden="1" customWidth="1"/>
    <col min="1277" max="1277" width="27.28515625" style="79" customWidth="1"/>
    <col min="1278" max="1278" width="18.140625" style="79" bestFit="1" customWidth="1"/>
    <col min="1279" max="1279" width="11.42578125" style="79" bestFit="1" customWidth="1"/>
    <col min="1280" max="1280" width="11.5703125" style="79" bestFit="1" customWidth="1"/>
    <col min="1281" max="1516" width="9.140625" style="79"/>
    <col min="1517" max="1517" width="0" style="79" hidden="1" customWidth="1"/>
    <col min="1518" max="1518" width="21.7109375" style="79" customWidth="1"/>
    <col min="1519" max="1519" width="48.140625" style="79" customWidth="1"/>
    <col min="1520" max="1520" width="29.7109375" style="79" customWidth="1"/>
    <col min="1521" max="1521" width="11.42578125" style="79" customWidth="1"/>
    <col min="1522" max="1522" width="7.5703125" style="79" customWidth="1"/>
    <col min="1523" max="1523" width="11.7109375" style="79" customWidth="1"/>
    <col min="1524" max="1524" width="7.140625" style="79" customWidth="1"/>
    <col min="1525" max="1525" width="0" style="79" hidden="1" customWidth="1"/>
    <col min="1526" max="1527" width="19.140625" style="79" customWidth="1"/>
    <col min="1528" max="1528" width="20.42578125" style="79" customWidth="1"/>
    <col min="1529" max="1529" width="20.85546875" style="79" customWidth="1"/>
    <col min="1530" max="1531" width="22" style="79" customWidth="1"/>
    <col min="1532" max="1532" width="0" style="79" hidden="1" customWidth="1"/>
    <col min="1533" max="1533" width="27.28515625" style="79" customWidth="1"/>
    <col min="1534" max="1534" width="18.140625" style="79" bestFit="1" customWidth="1"/>
    <col min="1535" max="1535" width="11.42578125" style="79" bestFit="1" customWidth="1"/>
    <col min="1536" max="1536" width="11.5703125" style="79" bestFit="1" customWidth="1"/>
    <col min="1537" max="1772" width="9.140625" style="79"/>
    <col min="1773" max="1773" width="0" style="79" hidden="1" customWidth="1"/>
    <col min="1774" max="1774" width="21.7109375" style="79" customWidth="1"/>
    <col min="1775" max="1775" width="48.140625" style="79" customWidth="1"/>
    <col min="1776" max="1776" width="29.7109375" style="79" customWidth="1"/>
    <col min="1777" max="1777" width="11.42578125" style="79" customWidth="1"/>
    <col min="1778" max="1778" width="7.5703125" style="79" customWidth="1"/>
    <col min="1779" max="1779" width="11.7109375" style="79" customWidth="1"/>
    <col min="1780" max="1780" width="7.140625" style="79" customWidth="1"/>
    <col min="1781" max="1781" width="0" style="79" hidden="1" customWidth="1"/>
    <col min="1782" max="1783" width="19.140625" style="79" customWidth="1"/>
    <col min="1784" max="1784" width="20.42578125" style="79" customWidth="1"/>
    <col min="1785" max="1785" width="20.85546875" style="79" customWidth="1"/>
    <col min="1786" max="1787" width="22" style="79" customWidth="1"/>
    <col min="1788" max="1788" width="0" style="79" hidden="1" customWidth="1"/>
    <col min="1789" max="1789" width="27.28515625" style="79" customWidth="1"/>
    <col min="1790" max="1790" width="18.140625" style="79" bestFit="1" customWidth="1"/>
    <col min="1791" max="1791" width="11.42578125" style="79" bestFit="1" customWidth="1"/>
    <col min="1792" max="1792" width="11.5703125" style="79" bestFit="1" customWidth="1"/>
    <col min="1793" max="2028" width="9.140625" style="79"/>
    <col min="2029" max="2029" width="0" style="79" hidden="1" customWidth="1"/>
    <col min="2030" max="2030" width="21.7109375" style="79" customWidth="1"/>
    <col min="2031" max="2031" width="48.140625" style="79" customWidth="1"/>
    <col min="2032" max="2032" width="29.7109375" style="79" customWidth="1"/>
    <col min="2033" max="2033" width="11.42578125" style="79" customWidth="1"/>
    <col min="2034" max="2034" width="7.5703125" style="79" customWidth="1"/>
    <col min="2035" max="2035" width="11.7109375" style="79" customWidth="1"/>
    <col min="2036" max="2036" width="7.140625" style="79" customWidth="1"/>
    <col min="2037" max="2037" width="0" style="79" hidden="1" customWidth="1"/>
    <col min="2038" max="2039" width="19.140625" style="79" customWidth="1"/>
    <col min="2040" max="2040" width="20.42578125" style="79" customWidth="1"/>
    <col min="2041" max="2041" width="20.85546875" style="79" customWidth="1"/>
    <col min="2042" max="2043" width="22" style="79" customWidth="1"/>
    <col min="2044" max="2044" width="0" style="79" hidden="1" customWidth="1"/>
    <col min="2045" max="2045" width="27.28515625" style="79" customWidth="1"/>
    <col min="2046" max="2046" width="18.140625" style="79" bestFit="1" customWidth="1"/>
    <col min="2047" max="2047" width="11.42578125" style="79" bestFit="1" customWidth="1"/>
    <col min="2048" max="2048" width="11.5703125" style="79" bestFit="1" customWidth="1"/>
    <col min="2049" max="2284" width="9.140625" style="79"/>
    <col min="2285" max="2285" width="0" style="79" hidden="1" customWidth="1"/>
    <col min="2286" max="2286" width="21.7109375" style="79" customWidth="1"/>
    <col min="2287" max="2287" width="48.140625" style="79" customWidth="1"/>
    <col min="2288" max="2288" width="29.7109375" style="79" customWidth="1"/>
    <col min="2289" max="2289" width="11.42578125" style="79" customWidth="1"/>
    <col min="2290" max="2290" width="7.5703125" style="79" customWidth="1"/>
    <col min="2291" max="2291" width="11.7109375" style="79" customWidth="1"/>
    <col min="2292" max="2292" width="7.140625" style="79" customWidth="1"/>
    <col min="2293" max="2293" width="0" style="79" hidden="1" customWidth="1"/>
    <col min="2294" max="2295" width="19.140625" style="79" customWidth="1"/>
    <col min="2296" max="2296" width="20.42578125" style="79" customWidth="1"/>
    <col min="2297" max="2297" width="20.85546875" style="79" customWidth="1"/>
    <col min="2298" max="2299" width="22" style="79" customWidth="1"/>
    <col min="2300" max="2300" width="0" style="79" hidden="1" customWidth="1"/>
    <col min="2301" max="2301" width="27.28515625" style="79" customWidth="1"/>
    <col min="2302" max="2302" width="18.140625" style="79" bestFit="1" customWidth="1"/>
    <col min="2303" max="2303" width="11.42578125" style="79" bestFit="1" customWidth="1"/>
    <col min="2304" max="2304" width="11.5703125" style="79" bestFit="1" customWidth="1"/>
    <col min="2305" max="2540" width="9.140625" style="79"/>
    <col min="2541" max="2541" width="0" style="79" hidden="1" customWidth="1"/>
    <col min="2542" max="2542" width="21.7109375" style="79" customWidth="1"/>
    <col min="2543" max="2543" width="48.140625" style="79" customWidth="1"/>
    <col min="2544" max="2544" width="29.7109375" style="79" customWidth="1"/>
    <col min="2545" max="2545" width="11.42578125" style="79" customWidth="1"/>
    <col min="2546" max="2546" width="7.5703125" style="79" customWidth="1"/>
    <col min="2547" max="2547" width="11.7109375" style="79" customWidth="1"/>
    <col min="2548" max="2548" width="7.140625" style="79" customWidth="1"/>
    <col min="2549" max="2549" width="0" style="79" hidden="1" customWidth="1"/>
    <col min="2550" max="2551" width="19.140625" style="79" customWidth="1"/>
    <col min="2552" max="2552" width="20.42578125" style="79" customWidth="1"/>
    <col min="2553" max="2553" width="20.85546875" style="79" customWidth="1"/>
    <col min="2554" max="2555" width="22" style="79" customWidth="1"/>
    <col min="2556" max="2556" width="0" style="79" hidden="1" customWidth="1"/>
    <col min="2557" max="2557" width="27.28515625" style="79" customWidth="1"/>
    <col min="2558" max="2558" width="18.140625" style="79" bestFit="1" customWidth="1"/>
    <col min="2559" max="2559" width="11.42578125" style="79" bestFit="1" customWidth="1"/>
    <col min="2560" max="2560" width="11.5703125" style="79" bestFit="1" customWidth="1"/>
    <col min="2561" max="2796" width="9.140625" style="79"/>
    <col min="2797" max="2797" width="0" style="79" hidden="1" customWidth="1"/>
    <col min="2798" max="2798" width="21.7109375" style="79" customWidth="1"/>
    <col min="2799" max="2799" width="48.140625" style="79" customWidth="1"/>
    <col min="2800" max="2800" width="29.7109375" style="79" customWidth="1"/>
    <col min="2801" max="2801" width="11.42578125" style="79" customWidth="1"/>
    <col min="2802" max="2802" width="7.5703125" style="79" customWidth="1"/>
    <col min="2803" max="2803" width="11.7109375" style="79" customWidth="1"/>
    <col min="2804" max="2804" width="7.140625" style="79" customWidth="1"/>
    <col min="2805" max="2805" width="0" style="79" hidden="1" customWidth="1"/>
    <col min="2806" max="2807" width="19.140625" style="79" customWidth="1"/>
    <col min="2808" max="2808" width="20.42578125" style="79" customWidth="1"/>
    <col min="2809" max="2809" width="20.85546875" style="79" customWidth="1"/>
    <col min="2810" max="2811" width="22" style="79" customWidth="1"/>
    <col min="2812" max="2812" width="0" style="79" hidden="1" customWidth="1"/>
    <col min="2813" max="2813" width="27.28515625" style="79" customWidth="1"/>
    <col min="2814" max="2814" width="18.140625" style="79" bestFit="1" customWidth="1"/>
    <col min="2815" max="2815" width="11.42578125" style="79" bestFit="1" customWidth="1"/>
    <col min="2816" max="2816" width="11.5703125" style="79" bestFit="1" customWidth="1"/>
    <col min="2817" max="3052" width="9.140625" style="79"/>
    <col min="3053" max="3053" width="0" style="79" hidden="1" customWidth="1"/>
    <col min="3054" max="3054" width="21.7109375" style="79" customWidth="1"/>
    <col min="3055" max="3055" width="48.140625" style="79" customWidth="1"/>
    <col min="3056" max="3056" width="29.7109375" style="79" customWidth="1"/>
    <col min="3057" max="3057" width="11.42578125" style="79" customWidth="1"/>
    <col min="3058" max="3058" width="7.5703125" style="79" customWidth="1"/>
    <col min="3059" max="3059" width="11.7109375" style="79" customWidth="1"/>
    <col min="3060" max="3060" width="7.140625" style="79" customWidth="1"/>
    <col min="3061" max="3061" width="0" style="79" hidden="1" customWidth="1"/>
    <col min="3062" max="3063" width="19.140625" style="79" customWidth="1"/>
    <col min="3064" max="3064" width="20.42578125" style="79" customWidth="1"/>
    <col min="3065" max="3065" width="20.85546875" style="79" customWidth="1"/>
    <col min="3066" max="3067" width="22" style="79" customWidth="1"/>
    <col min="3068" max="3068" width="0" style="79" hidden="1" customWidth="1"/>
    <col min="3069" max="3069" width="27.28515625" style="79" customWidth="1"/>
    <col min="3070" max="3070" width="18.140625" style="79" bestFit="1" customWidth="1"/>
    <col min="3071" max="3071" width="11.42578125" style="79" bestFit="1" customWidth="1"/>
    <col min="3072" max="3072" width="11.5703125" style="79" bestFit="1" customWidth="1"/>
    <col min="3073" max="3308" width="9.140625" style="79"/>
    <col min="3309" max="3309" width="0" style="79" hidden="1" customWidth="1"/>
    <col min="3310" max="3310" width="21.7109375" style="79" customWidth="1"/>
    <col min="3311" max="3311" width="48.140625" style="79" customWidth="1"/>
    <col min="3312" max="3312" width="29.7109375" style="79" customWidth="1"/>
    <col min="3313" max="3313" width="11.42578125" style="79" customWidth="1"/>
    <col min="3314" max="3314" width="7.5703125" style="79" customWidth="1"/>
    <col min="3315" max="3315" width="11.7109375" style="79" customWidth="1"/>
    <col min="3316" max="3316" width="7.140625" style="79" customWidth="1"/>
    <col min="3317" max="3317" width="0" style="79" hidden="1" customWidth="1"/>
    <col min="3318" max="3319" width="19.140625" style="79" customWidth="1"/>
    <col min="3320" max="3320" width="20.42578125" style="79" customWidth="1"/>
    <col min="3321" max="3321" width="20.85546875" style="79" customWidth="1"/>
    <col min="3322" max="3323" width="22" style="79" customWidth="1"/>
    <col min="3324" max="3324" width="0" style="79" hidden="1" customWidth="1"/>
    <col min="3325" max="3325" width="27.28515625" style="79" customWidth="1"/>
    <col min="3326" max="3326" width="18.140625" style="79" bestFit="1" customWidth="1"/>
    <col min="3327" max="3327" width="11.42578125" style="79" bestFit="1" customWidth="1"/>
    <col min="3328" max="3328" width="11.5703125" style="79" bestFit="1" customWidth="1"/>
    <col min="3329" max="3564" width="9.140625" style="79"/>
    <col min="3565" max="3565" width="0" style="79" hidden="1" customWidth="1"/>
    <col min="3566" max="3566" width="21.7109375" style="79" customWidth="1"/>
    <col min="3567" max="3567" width="48.140625" style="79" customWidth="1"/>
    <col min="3568" max="3568" width="29.7109375" style="79" customWidth="1"/>
    <col min="3569" max="3569" width="11.42578125" style="79" customWidth="1"/>
    <col min="3570" max="3570" width="7.5703125" style="79" customWidth="1"/>
    <col min="3571" max="3571" width="11.7109375" style="79" customWidth="1"/>
    <col min="3572" max="3572" width="7.140625" style="79" customWidth="1"/>
    <col min="3573" max="3573" width="0" style="79" hidden="1" customWidth="1"/>
    <col min="3574" max="3575" width="19.140625" style="79" customWidth="1"/>
    <col min="3576" max="3576" width="20.42578125" style="79" customWidth="1"/>
    <col min="3577" max="3577" width="20.85546875" style="79" customWidth="1"/>
    <col min="3578" max="3579" width="22" style="79" customWidth="1"/>
    <col min="3580" max="3580" width="0" style="79" hidden="1" customWidth="1"/>
    <col min="3581" max="3581" width="27.28515625" style="79" customWidth="1"/>
    <col min="3582" max="3582" width="18.140625" style="79" bestFit="1" customWidth="1"/>
    <col min="3583" max="3583" width="11.42578125" style="79" bestFit="1" customWidth="1"/>
    <col min="3584" max="3584" width="11.5703125" style="79" bestFit="1" customWidth="1"/>
    <col min="3585" max="3820" width="9.140625" style="79"/>
    <col min="3821" max="3821" width="0" style="79" hidden="1" customWidth="1"/>
    <col min="3822" max="3822" width="21.7109375" style="79" customWidth="1"/>
    <col min="3823" max="3823" width="48.140625" style="79" customWidth="1"/>
    <col min="3824" max="3824" width="29.7109375" style="79" customWidth="1"/>
    <col min="3825" max="3825" width="11.42578125" style="79" customWidth="1"/>
    <col min="3826" max="3826" width="7.5703125" style="79" customWidth="1"/>
    <col min="3827" max="3827" width="11.7109375" style="79" customWidth="1"/>
    <col min="3828" max="3828" width="7.140625" style="79" customWidth="1"/>
    <col min="3829" max="3829" width="0" style="79" hidden="1" customWidth="1"/>
    <col min="3830" max="3831" width="19.140625" style="79" customWidth="1"/>
    <col min="3832" max="3832" width="20.42578125" style="79" customWidth="1"/>
    <col min="3833" max="3833" width="20.85546875" style="79" customWidth="1"/>
    <col min="3834" max="3835" width="22" style="79" customWidth="1"/>
    <col min="3836" max="3836" width="0" style="79" hidden="1" customWidth="1"/>
    <col min="3837" max="3837" width="27.28515625" style="79" customWidth="1"/>
    <col min="3838" max="3838" width="18.140625" style="79" bestFit="1" customWidth="1"/>
    <col min="3839" max="3839" width="11.42578125" style="79" bestFit="1" customWidth="1"/>
    <col min="3840" max="3840" width="11.5703125" style="79" bestFit="1" customWidth="1"/>
    <col min="3841" max="4076" width="9.140625" style="79"/>
    <col min="4077" max="4077" width="0" style="79" hidden="1" customWidth="1"/>
    <col min="4078" max="4078" width="21.7109375" style="79" customWidth="1"/>
    <col min="4079" max="4079" width="48.140625" style="79" customWidth="1"/>
    <col min="4080" max="4080" width="29.7109375" style="79" customWidth="1"/>
    <col min="4081" max="4081" width="11.42578125" style="79" customWidth="1"/>
    <col min="4082" max="4082" width="7.5703125" style="79" customWidth="1"/>
    <col min="4083" max="4083" width="11.7109375" style="79" customWidth="1"/>
    <col min="4084" max="4084" width="7.140625" style="79" customWidth="1"/>
    <col min="4085" max="4085" width="0" style="79" hidden="1" customWidth="1"/>
    <col min="4086" max="4087" width="19.140625" style="79" customWidth="1"/>
    <col min="4088" max="4088" width="20.42578125" style="79" customWidth="1"/>
    <col min="4089" max="4089" width="20.85546875" style="79" customWidth="1"/>
    <col min="4090" max="4091" width="22" style="79" customWidth="1"/>
    <col min="4092" max="4092" width="0" style="79" hidden="1" customWidth="1"/>
    <col min="4093" max="4093" width="27.28515625" style="79" customWidth="1"/>
    <col min="4094" max="4094" width="18.140625" style="79" bestFit="1" customWidth="1"/>
    <col min="4095" max="4095" width="11.42578125" style="79" bestFit="1" customWidth="1"/>
    <col min="4096" max="4096" width="11.5703125" style="79" bestFit="1" customWidth="1"/>
    <col min="4097" max="4332" width="9.140625" style="79"/>
    <col min="4333" max="4333" width="0" style="79" hidden="1" customWidth="1"/>
    <col min="4334" max="4334" width="21.7109375" style="79" customWidth="1"/>
    <col min="4335" max="4335" width="48.140625" style="79" customWidth="1"/>
    <col min="4336" max="4336" width="29.7109375" style="79" customWidth="1"/>
    <col min="4337" max="4337" width="11.42578125" style="79" customWidth="1"/>
    <col min="4338" max="4338" width="7.5703125" style="79" customWidth="1"/>
    <col min="4339" max="4339" width="11.7109375" style="79" customWidth="1"/>
    <col min="4340" max="4340" width="7.140625" style="79" customWidth="1"/>
    <col min="4341" max="4341" width="0" style="79" hidden="1" customWidth="1"/>
    <col min="4342" max="4343" width="19.140625" style="79" customWidth="1"/>
    <col min="4344" max="4344" width="20.42578125" style="79" customWidth="1"/>
    <col min="4345" max="4345" width="20.85546875" style="79" customWidth="1"/>
    <col min="4346" max="4347" width="22" style="79" customWidth="1"/>
    <col min="4348" max="4348" width="0" style="79" hidden="1" customWidth="1"/>
    <col min="4349" max="4349" width="27.28515625" style="79" customWidth="1"/>
    <col min="4350" max="4350" width="18.140625" style="79" bestFit="1" customWidth="1"/>
    <col min="4351" max="4351" width="11.42578125" style="79" bestFit="1" customWidth="1"/>
    <col min="4352" max="4352" width="11.5703125" style="79" bestFit="1" customWidth="1"/>
    <col min="4353" max="4588" width="9.140625" style="79"/>
    <col min="4589" max="4589" width="0" style="79" hidden="1" customWidth="1"/>
    <col min="4590" max="4590" width="21.7109375" style="79" customWidth="1"/>
    <col min="4591" max="4591" width="48.140625" style="79" customWidth="1"/>
    <col min="4592" max="4592" width="29.7109375" style="79" customWidth="1"/>
    <col min="4593" max="4593" width="11.42578125" style="79" customWidth="1"/>
    <col min="4594" max="4594" width="7.5703125" style="79" customWidth="1"/>
    <col min="4595" max="4595" width="11.7109375" style="79" customWidth="1"/>
    <col min="4596" max="4596" width="7.140625" style="79" customWidth="1"/>
    <col min="4597" max="4597" width="0" style="79" hidden="1" customWidth="1"/>
    <col min="4598" max="4599" width="19.140625" style="79" customWidth="1"/>
    <col min="4600" max="4600" width="20.42578125" style="79" customWidth="1"/>
    <col min="4601" max="4601" width="20.85546875" style="79" customWidth="1"/>
    <col min="4602" max="4603" width="22" style="79" customWidth="1"/>
    <col min="4604" max="4604" width="0" style="79" hidden="1" customWidth="1"/>
    <col min="4605" max="4605" width="27.28515625" style="79" customWidth="1"/>
    <col min="4606" max="4606" width="18.140625" style="79" bestFit="1" customWidth="1"/>
    <col min="4607" max="4607" width="11.42578125" style="79" bestFit="1" customWidth="1"/>
    <col min="4608" max="4608" width="11.5703125" style="79" bestFit="1" customWidth="1"/>
    <col min="4609" max="4844" width="9.140625" style="79"/>
    <col min="4845" max="4845" width="0" style="79" hidden="1" customWidth="1"/>
    <col min="4846" max="4846" width="21.7109375" style="79" customWidth="1"/>
    <col min="4847" max="4847" width="48.140625" style="79" customWidth="1"/>
    <col min="4848" max="4848" width="29.7109375" style="79" customWidth="1"/>
    <col min="4849" max="4849" width="11.42578125" style="79" customWidth="1"/>
    <col min="4850" max="4850" width="7.5703125" style="79" customWidth="1"/>
    <col min="4851" max="4851" width="11.7109375" style="79" customWidth="1"/>
    <col min="4852" max="4852" width="7.140625" style="79" customWidth="1"/>
    <col min="4853" max="4853" width="0" style="79" hidden="1" customWidth="1"/>
    <col min="4854" max="4855" width="19.140625" style="79" customWidth="1"/>
    <col min="4856" max="4856" width="20.42578125" style="79" customWidth="1"/>
    <col min="4857" max="4857" width="20.85546875" style="79" customWidth="1"/>
    <col min="4858" max="4859" width="22" style="79" customWidth="1"/>
    <col min="4860" max="4860" width="0" style="79" hidden="1" customWidth="1"/>
    <col min="4861" max="4861" width="27.28515625" style="79" customWidth="1"/>
    <col min="4862" max="4862" width="18.140625" style="79" bestFit="1" customWidth="1"/>
    <col min="4863" max="4863" width="11.42578125" style="79" bestFit="1" customWidth="1"/>
    <col min="4864" max="4864" width="11.5703125" style="79" bestFit="1" customWidth="1"/>
    <col min="4865" max="5100" width="9.140625" style="79"/>
    <col min="5101" max="5101" width="0" style="79" hidden="1" customWidth="1"/>
    <col min="5102" max="5102" width="21.7109375" style="79" customWidth="1"/>
    <col min="5103" max="5103" width="48.140625" style="79" customWidth="1"/>
    <col min="5104" max="5104" width="29.7109375" style="79" customWidth="1"/>
    <col min="5105" max="5105" width="11.42578125" style="79" customWidth="1"/>
    <col min="5106" max="5106" width="7.5703125" style="79" customWidth="1"/>
    <col min="5107" max="5107" width="11.7109375" style="79" customWidth="1"/>
    <col min="5108" max="5108" width="7.140625" style="79" customWidth="1"/>
    <col min="5109" max="5109" width="0" style="79" hidden="1" customWidth="1"/>
    <col min="5110" max="5111" width="19.140625" style="79" customWidth="1"/>
    <col min="5112" max="5112" width="20.42578125" style="79" customWidth="1"/>
    <col min="5113" max="5113" width="20.85546875" style="79" customWidth="1"/>
    <col min="5114" max="5115" width="22" style="79" customWidth="1"/>
    <col min="5116" max="5116" width="0" style="79" hidden="1" customWidth="1"/>
    <col min="5117" max="5117" width="27.28515625" style="79" customWidth="1"/>
    <col min="5118" max="5118" width="18.140625" style="79" bestFit="1" customWidth="1"/>
    <col min="5119" max="5119" width="11.42578125" style="79" bestFit="1" customWidth="1"/>
    <col min="5120" max="5120" width="11.5703125" style="79" bestFit="1" customWidth="1"/>
    <col min="5121" max="5356" width="9.140625" style="79"/>
    <col min="5357" max="5357" width="0" style="79" hidden="1" customWidth="1"/>
    <col min="5358" max="5358" width="21.7109375" style="79" customWidth="1"/>
    <col min="5359" max="5359" width="48.140625" style="79" customWidth="1"/>
    <col min="5360" max="5360" width="29.7109375" style="79" customWidth="1"/>
    <col min="5361" max="5361" width="11.42578125" style="79" customWidth="1"/>
    <col min="5362" max="5362" width="7.5703125" style="79" customWidth="1"/>
    <col min="5363" max="5363" width="11.7109375" style="79" customWidth="1"/>
    <col min="5364" max="5364" width="7.140625" style="79" customWidth="1"/>
    <col min="5365" max="5365" width="0" style="79" hidden="1" customWidth="1"/>
    <col min="5366" max="5367" width="19.140625" style="79" customWidth="1"/>
    <col min="5368" max="5368" width="20.42578125" style="79" customWidth="1"/>
    <col min="5369" max="5369" width="20.85546875" style="79" customWidth="1"/>
    <col min="5370" max="5371" width="22" style="79" customWidth="1"/>
    <col min="5372" max="5372" width="0" style="79" hidden="1" customWidth="1"/>
    <col min="5373" max="5373" width="27.28515625" style="79" customWidth="1"/>
    <col min="5374" max="5374" width="18.140625" style="79" bestFit="1" customWidth="1"/>
    <col min="5375" max="5375" width="11.42578125" style="79" bestFit="1" customWidth="1"/>
    <col min="5376" max="5376" width="11.5703125" style="79" bestFit="1" customWidth="1"/>
    <col min="5377" max="5612" width="9.140625" style="79"/>
    <col min="5613" max="5613" width="0" style="79" hidden="1" customWidth="1"/>
    <col min="5614" max="5614" width="21.7109375" style="79" customWidth="1"/>
    <col min="5615" max="5615" width="48.140625" style="79" customWidth="1"/>
    <col min="5616" max="5616" width="29.7109375" style="79" customWidth="1"/>
    <col min="5617" max="5617" width="11.42578125" style="79" customWidth="1"/>
    <col min="5618" max="5618" width="7.5703125" style="79" customWidth="1"/>
    <col min="5619" max="5619" width="11.7109375" style="79" customWidth="1"/>
    <col min="5620" max="5620" width="7.140625" style="79" customWidth="1"/>
    <col min="5621" max="5621" width="0" style="79" hidden="1" customWidth="1"/>
    <col min="5622" max="5623" width="19.140625" style="79" customWidth="1"/>
    <col min="5624" max="5624" width="20.42578125" style="79" customWidth="1"/>
    <col min="5625" max="5625" width="20.85546875" style="79" customWidth="1"/>
    <col min="5626" max="5627" width="22" style="79" customWidth="1"/>
    <col min="5628" max="5628" width="0" style="79" hidden="1" customWidth="1"/>
    <col min="5629" max="5629" width="27.28515625" style="79" customWidth="1"/>
    <col min="5630" max="5630" width="18.140625" style="79" bestFit="1" customWidth="1"/>
    <col min="5631" max="5631" width="11.42578125" style="79" bestFit="1" customWidth="1"/>
    <col min="5632" max="5632" width="11.5703125" style="79" bestFit="1" customWidth="1"/>
    <col min="5633" max="5868" width="9.140625" style="79"/>
    <col min="5869" max="5869" width="0" style="79" hidden="1" customWidth="1"/>
    <col min="5870" max="5870" width="21.7109375" style="79" customWidth="1"/>
    <col min="5871" max="5871" width="48.140625" style="79" customWidth="1"/>
    <col min="5872" max="5872" width="29.7109375" style="79" customWidth="1"/>
    <col min="5873" max="5873" width="11.42578125" style="79" customWidth="1"/>
    <col min="5874" max="5874" width="7.5703125" style="79" customWidth="1"/>
    <col min="5875" max="5875" width="11.7109375" style="79" customWidth="1"/>
    <col min="5876" max="5876" width="7.140625" style="79" customWidth="1"/>
    <col min="5877" max="5877" width="0" style="79" hidden="1" customWidth="1"/>
    <col min="5878" max="5879" width="19.140625" style="79" customWidth="1"/>
    <col min="5880" max="5880" width="20.42578125" style="79" customWidth="1"/>
    <col min="5881" max="5881" width="20.85546875" style="79" customWidth="1"/>
    <col min="5882" max="5883" width="22" style="79" customWidth="1"/>
    <col min="5884" max="5884" width="0" style="79" hidden="1" customWidth="1"/>
    <col min="5885" max="5885" width="27.28515625" style="79" customWidth="1"/>
    <col min="5886" max="5886" width="18.140625" style="79" bestFit="1" customWidth="1"/>
    <col min="5887" max="5887" width="11.42578125" style="79" bestFit="1" customWidth="1"/>
    <col min="5888" max="5888" width="11.5703125" style="79" bestFit="1" customWidth="1"/>
    <col min="5889" max="6124" width="9.140625" style="79"/>
    <col min="6125" max="6125" width="0" style="79" hidden="1" customWidth="1"/>
    <col min="6126" max="6126" width="21.7109375" style="79" customWidth="1"/>
    <col min="6127" max="6127" width="48.140625" style="79" customWidth="1"/>
    <col min="6128" max="6128" width="29.7109375" style="79" customWidth="1"/>
    <col min="6129" max="6129" width="11.42578125" style="79" customWidth="1"/>
    <col min="6130" max="6130" width="7.5703125" style="79" customWidth="1"/>
    <col min="6131" max="6131" width="11.7109375" style="79" customWidth="1"/>
    <col min="6132" max="6132" width="7.140625" style="79" customWidth="1"/>
    <col min="6133" max="6133" width="0" style="79" hidden="1" customWidth="1"/>
    <col min="6134" max="6135" width="19.140625" style="79" customWidth="1"/>
    <col min="6136" max="6136" width="20.42578125" style="79" customWidth="1"/>
    <col min="6137" max="6137" width="20.85546875" style="79" customWidth="1"/>
    <col min="6138" max="6139" width="22" style="79" customWidth="1"/>
    <col min="6140" max="6140" width="0" style="79" hidden="1" customWidth="1"/>
    <col min="6141" max="6141" width="27.28515625" style="79" customWidth="1"/>
    <col min="6142" max="6142" width="18.140625" style="79" bestFit="1" customWidth="1"/>
    <col min="6143" max="6143" width="11.42578125" style="79" bestFit="1" customWidth="1"/>
    <col min="6144" max="6144" width="11.5703125" style="79" bestFit="1" customWidth="1"/>
    <col min="6145" max="6380" width="9.140625" style="79"/>
    <col min="6381" max="6381" width="0" style="79" hidden="1" customWidth="1"/>
    <col min="6382" max="6382" width="21.7109375" style="79" customWidth="1"/>
    <col min="6383" max="6383" width="48.140625" style="79" customWidth="1"/>
    <col min="6384" max="6384" width="29.7109375" style="79" customWidth="1"/>
    <col min="6385" max="6385" width="11.42578125" style="79" customWidth="1"/>
    <col min="6386" max="6386" width="7.5703125" style="79" customWidth="1"/>
    <col min="6387" max="6387" width="11.7109375" style="79" customWidth="1"/>
    <col min="6388" max="6388" width="7.140625" style="79" customWidth="1"/>
    <col min="6389" max="6389" width="0" style="79" hidden="1" customWidth="1"/>
    <col min="6390" max="6391" width="19.140625" style="79" customWidth="1"/>
    <col min="6392" max="6392" width="20.42578125" style="79" customWidth="1"/>
    <col min="6393" max="6393" width="20.85546875" style="79" customWidth="1"/>
    <col min="6394" max="6395" width="22" style="79" customWidth="1"/>
    <col min="6396" max="6396" width="0" style="79" hidden="1" customWidth="1"/>
    <col min="6397" max="6397" width="27.28515625" style="79" customWidth="1"/>
    <col min="6398" max="6398" width="18.140625" style="79" bestFit="1" customWidth="1"/>
    <col min="6399" max="6399" width="11.42578125" style="79" bestFit="1" customWidth="1"/>
    <col min="6400" max="6400" width="11.5703125" style="79" bestFit="1" customWidth="1"/>
    <col min="6401" max="6636" width="9.140625" style="79"/>
    <col min="6637" max="6637" width="0" style="79" hidden="1" customWidth="1"/>
    <col min="6638" max="6638" width="21.7109375" style="79" customWidth="1"/>
    <col min="6639" max="6639" width="48.140625" style="79" customWidth="1"/>
    <col min="6640" max="6640" width="29.7109375" style="79" customWidth="1"/>
    <col min="6641" max="6641" width="11.42578125" style="79" customWidth="1"/>
    <col min="6642" max="6642" width="7.5703125" style="79" customWidth="1"/>
    <col min="6643" max="6643" width="11.7109375" style="79" customWidth="1"/>
    <col min="6644" max="6644" width="7.140625" style="79" customWidth="1"/>
    <col min="6645" max="6645" width="0" style="79" hidden="1" customWidth="1"/>
    <col min="6646" max="6647" width="19.140625" style="79" customWidth="1"/>
    <col min="6648" max="6648" width="20.42578125" style="79" customWidth="1"/>
    <col min="6649" max="6649" width="20.85546875" style="79" customWidth="1"/>
    <col min="6650" max="6651" width="22" style="79" customWidth="1"/>
    <col min="6652" max="6652" width="0" style="79" hidden="1" customWidth="1"/>
    <col min="6653" max="6653" width="27.28515625" style="79" customWidth="1"/>
    <col min="6654" max="6654" width="18.140625" style="79" bestFit="1" customWidth="1"/>
    <col min="6655" max="6655" width="11.42578125" style="79" bestFit="1" customWidth="1"/>
    <col min="6656" max="6656" width="11.5703125" style="79" bestFit="1" customWidth="1"/>
    <col min="6657" max="6892" width="9.140625" style="79"/>
    <col min="6893" max="6893" width="0" style="79" hidden="1" customWidth="1"/>
    <col min="6894" max="6894" width="21.7109375" style="79" customWidth="1"/>
    <col min="6895" max="6895" width="48.140625" style="79" customWidth="1"/>
    <col min="6896" max="6896" width="29.7109375" style="79" customWidth="1"/>
    <col min="6897" max="6897" width="11.42578125" style="79" customWidth="1"/>
    <col min="6898" max="6898" width="7.5703125" style="79" customWidth="1"/>
    <col min="6899" max="6899" width="11.7109375" style="79" customWidth="1"/>
    <col min="6900" max="6900" width="7.140625" style="79" customWidth="1"/>
    <col min="6901" max="6901" width="0" style="79" hidden="1" customWidth="1"/>
    <col min="6902" max="6903" width="19.140625" style="79" customWidth="1"/>
    <col min="6904" max="6904" width="20.42578125" style="79" customWidth="1"/>
    <col min="6905" max="6905" width="20.85546875" style="79" customWidth="1"/>
    <col min="6906" max="6907" width="22" style="79" customWidth="1"/>
    <col min="6908" max="6908" width="0" style="79" hidden="1" customWidth="1"/>
    <col min="6909" max="6909" width="27.28515625" style="79" customWidth="1"/>
    <col min="6910" max="6910" width="18.140625" style="79" bestFit="1" customWidth="1"/>
    <col min="6911" max="6911" width="11.42578125" style="79" bestFit="1" customWidth="1"/>
    <col min="6912" max="6912" width="11.5703125" style="79" bestFit="1" customWidth="1"/>
    <col min="6913" max="7148" width="9.140625" style="79"/>
    <col min="7149" max="7149" width="0" style="79" hidden="1" customWidth="1"/>
    <col min="7150" max="7150" width="21.7109375" style="79" customWidth="1"/>
    <col min="7151" max="7151" width="48.140625" style="79" customWidth="1"/>
    <col min="7152" max="7152" width="29.7109375" style="79" customWidth="1"/>
    <col min="7153" max="7153" width="11.42578125" style="79" customWidth="1"/>
    <col min="7154" max="7154" width="7.5703125" style="79" customWidth="1"/>
    <col min="7155" max="7155" width="11.7109375" style="79" customWidth="1"/>
    <col min="7156" max="7156" width="7.140625" style="79" customWidth="1"/>
    <col min="7157" max="7157" width="0" style="79" hidden="1" customWidth="1"/>
    <col min="7158" max="7159" width="19.140625" style="79" customWidth="1"/>
    <col min="7160" max="7160" width="20.42578125" style="79" customWidth="1"/>
    <col min="7161" max="7161" width="20.85546875" style="79" customWidth="1"/>
    <col min="7162" max="7163" width="22" style="79" customWidth="1"/>
    <col min="7164" max="7164" width="0" style="79" hidden="1" customWidth="1"/>
    <col min="7165" max="7165" width="27.28515625" style="79" customWidth="1"/>
    <col min="7166" max="7166" width="18.140625" style="79" bestFit="1" customWidth="1"/>
    <col min="7167" max="7167" width="11.42578125" style="79" bestFit="1" customWidth="1"/>
    <col min="7168" max="7168" width="11.5703125" style="79" bestFit="1" customWidth="1"/>
    <col min="7169" max="7404" width="9.140625" style="79"/>
    <col min="7405" max="7405" width="0" style="79" hidden="1" customWidth="1"/>
    <col min="7406" max="7406" width="21.7109375" style="79" customWidth="1"/>
    <col min="7407" max="7407" width="48.140625" style="79" customWidth="1"/>
    <col min="7408" max="7408" width="29.7109375" style="79" customWidth="1"/>
    <col min="7409" max="7409" width="11.42578125" style="79" customWidth="1"/>
    <col min="7410" max="7410" width="7.5703125" style="79" customWidth="1"/>
    <col min="7411" max="7411" width="11.7109375" style="79" customWidth="1"/>
    <col min="7412" max="7412" width="7.140625" style="79" customWidth="1"/>
    <col min="7413" max="7413" width="0" style="79" hidden="1" customWidth="1"/>
    <col min="7414" max="7415" width="19.140625" style="79" customWidth="1"/>
    <col min="7416" max="7416" width="20.42578125" style="79" customWidth="1"/>
    <col min="7417" max="7417" width="20.85546875" style="79" customWidth="1"/>
    <col min="7418" max="7419" width="22" style="79" customWidth="1"/>
    <col min="7420" max="7420" width="0" style="79" hidden="1" customWidth="1"/>
    <col min="7421" max="7421" width="27.28515625" style="79" customWidth="1"/>
    <col min="7422" max="7422" width="18.140625" style="79" bestFit="1" customWidth="1"/>
    <col min="7423" max="7423" width="11.42578125" style="79" bestFit="1" customWidth="1"/>
    <col min="7424" max="7424" width="11.5703125" style="79" bestFit="1" customWidth="1"/>
    <col min="7425" max="7660" width="9.140625" style="79"/>
    <col min="7661" max="7661" width="0" style="79" hidden="1" customWidth="1"/>
    <col min="7662" max="7662" width="21.7109375" style="79" customWidth="1"/>
    <col min="7663" max="7663" width="48.140625" style="79" customWidth="1"/>
    <col min="7664" max="7664" width="29.7109375" style="79" customWidth="1"/>
    <col min="7665" max="7665" width="11.42578125" style="79" customWidth="1"/>
    <col min="7666" max="7666" width="7.5703125" style="79" customWidth="1"/>
    <col min="7667" max="7667" width="11.7109375" style="79" customWidth="1"/>
    <col min="7668" max="7668" width="7.140625" style="79" customWidth="1"/>
    <col min="7669" max="7669" width="0" style="79" hidden="1" customWidth="1"/>
    <col min="7670" max="7671" width="19.140625" style="79" customWidth="1"/>
    <col min="7672" max="7672" width="20.42578125" style="79" customWidth="1"/>
    <col min="7673" max="7673" width="20.85546875" style="79" customWidth="1"/>
    <col min="7674" max="7675" width="22" style="79" customWidth="1"/>
    <col min="7676" max="7676" width="0" style="79" hidden="1" customWidth="1"/>
    <col min="7677" max="7677" width="27.28515625" style="79" customWidth="1"/>
    <col min="7678" max="7678" width="18.140625" style="79" bestFit="1" customWidth="1"/>
    <col min="7679" max="7679" width="11.42578125" style="79" bestFit="1" customWidth="1"/>
    <col min="7680" max="7680" width="11.5703125" style="79" bestFit="1" customWidth="1"/>
    <col min="7681" max="7916" width="9.140625" style="79"/>
    <col min="7917" max="7917" width="0" style="79" hidden="1" customWidth="1"/>
    <col min="7918" max="7918" width="21.7109375" style="79" customWidth="1"/>
    <col min="7919" max="7919" width="48.140625" style="79" customWidth="1"/>
    <col min="7920" max="7920" width="29.7109375" style="79" customWidth="1"/>
    <col min="7921" max="7921" width="11.42578125" style="79" customWidth="1"/>
    <col min="7922" max="7922" width="7.5703125" style="79" customWidth="1"/>
    <col min="7923" max="7923" width="11.7109375" style="79" customWidth="1"/>
    <col min="7924" max="7924" width="7.140625" style="79" customWidth="1"/>
    <col min="7925" max="7925" width="0" style="79" hidden="1" customWidth="1"/>
    <col min="7926" max="7927" width="19.140625" style="79" customWidth="1"/>
    <col min="7928" max="7928" width="20.42578125" style="79" customWidth="1"/>
    <col min="7929" max="7929" width="20.85546875" style="79" customWidth="1"/>
    <col min="7930" max="7931" width="22" style="79" customWidth="1"/>
    <col min="7932" max="7932" width="0" style="79" hidden="1" customWidth="1"/>
    <col min="7933" max="7933" width="27.28515625" style="79" customWidth="1"/>
    <col min="7934" max="7934" width="18.140625" style="79" bestFit="1" customWidth="1"/>
    <col min="7935" max="7935" width="11.42578125" style="79" bestFit="1" customWidth="1"/>
    <col min="7936" max="7936" width="11.5703125" style="79" bestFit="1" customWidth="1"/>
    <col min="7937" max="8172" width="9.140625" style="79"/>
    <col min="8173" max="8173" width="0" style="79" hidden="1" customWidth="1"/>
    <col min="8174" max="8174" width="21.7109375" style="79" customWidth="1"/>
    <col min="8175" max="8175" width="48.140625" style="79" customWidth="1"/>
    <col min="8176" max="8176" width="29.7109375" style="79" customWidth="1"/>
    <col min="8177" max="8177" width="11.42578125" style="79" customWidth="1"/>
    <col min="8178" max="8178" width="7.5703125" style="79" customWidth="1"/>
    <col min="8179" max="8179" width="11.7109375" style="79" customWidth="1"/>
    <col min="8180" max="8180" width="7.140625" style="79" customWidth="1"/>
    <col min="8181" max="8181" width="0" style="79" hidden="1" customWidth="1"/>
    <col min="8182" max="8183" width="19.140625" style="79" customWidth="1"/>
    <col min="8184" max="8184" width="20.42578125" style="79" customWidth="1"/>
    <col min="8185" max="8185" width="20.85546875" style="79" customWidth="1"/>
    <col min="8186" max="8187" width="22" style="79" customWidth="1"/>
    <col min="8188" max="8188" width="0" style="79" hidden="1" customWidth="1"/>
    <col min="8189" max="8189" width="27.28515625" style="79" customWidth="1"/>
    <col min="8190" max="8190" width="18.140625" style="79" bestFit="1" customWidth="1"/>
    <col min="8191" max="8191" width="11.42578125" style="79" bestFit="1" customWidth="1"/>
    <col min="8192" max="8192" width="11.5703125" style="79" bestFit="1" customWidth="1"/>
    <col min="8193" max="8428" width="9.140625" style="79"/>
    <col min="8429" max="8429" width="0" style="79" hidden="1" customWidth="1"/>
    <col min="8430" max="8430" width="21.7109375" style="79" customWidth="1"/>
    <col min="8431" max="8431" width="48.140625" style="79" customWidth="1"/>
    <col min="8432" max="8432" width="29.7109375" style="79" customWidth="1"/>
    <col min="8433" max="8433" width="11.42578125" style="79" customWidth="1"/>
    <col min="8434" max="8434" width="7.5703125" style="79" customWidth="1"/>
    <col min="8435" max="8435" width="11.7109375" style="79" customWidth="1"/>
    <col min="8436" max="8436" width="7.140625" style="79" customWidth="1"/>
    <col min="8437" max="8437" width="0" style="79" hidden="1" customWidth="1"/>
    <col min="8438" max="8439" width="19.140625" style="79" customWidth="1"/>
    <col min="8440" max="8440" width="20.42578125" style="79" customWidth="1"/>
    <col min="8441" max="8441" width="20.85546875" style="79" customWidth="1"/>
    <col min="8442" max="8443" width="22" style="79" customWidth="1"/>
    <col min="8444" max="8444" width="0" style="79" hidden="1" customWidth="1"/>
    <col min="8445" max="8445" width="27.28515625" style="79" customWidth="1"/>
    <col min="8446" max="8446" width="18.140625" style="79" bestFit="1" customWidth="1"/>
    <col min="8447" max="8447" width="11.42578125" style="79" bestFit="1" customWidth="1"/>
    <col min="8448" max="8448" width="11.5703125" style="79" bestFit="1" customWidth="1"/>
    <col min="8449" max="8684" width="9.140625" style="79"/>
    <col min="8685" max="8685" width="0" style="79" hidden="1" customWidth="1"/>
    <col min="8686" max="8686" width="21.7109375" style="79" customWidth="1"/>
    <col min="8687" max="8687" width="48.140625" style="79" customWidth="1"/>
    <col min="8688" max="8688" width="29.7109375" style="79" customWidth="1"/>
    <col min="8689" max="8689" width="11.42578125" style="79" customWidth="1"/>
    <col min="8690" max="8690" width="7.5703125" style="79" customWidth="1"/>
    <col min="8691" max="8691" width="11.7109375" style="79" customWidth="1"/>
    <col min="8692" max="8692" width="7.140625" style="79" customWidth="1"/>
    <col min="8693" max="8693" width="0" style="79" hidden="1" customWidth="1"/>
    <col min="8694" max="8695" width="19.140625" style="79" customWidth="1"/>
    <col min="8696" max="8696" width="20.42578125" style="79" customWidth="1"/>
    <col min="8697" max="8697" width="20.85546875" style="79" customWidth="1"/>
    <col min="8698" max="8699" width="22" style="79" customWidth="1"/>
    <col min="8700" max="8700" width="0" style="79" hidden="1" customWidth="1"/>
    <col min="8701" max="8701" width="27.28515625" style="79" customWidth="1"/>
    <col min="8702" max="8702" width="18.140625" style="79" bestFit="1" customWidth="1"/>
    <col min="8703" max="8703" width="11.42578125" style="79" bestFit="1" customWidth="1"/>
    <col min="8704" max="8704" width="11.5703125" style="79" bestFit="1" customWidth="1"/>
    <col min="8705" max="8940" width="9.140625" style="79"/>
    <col min="8941" max="8941" width="0" style="79" hidden="1" customWidth="1"/>
    <col min="8942" max="8942" width="21.7109375" style="79" customWidth="1"/>
    <col min="8943" max="8943" width="48.140625" style="79" customWidth="1"/>
    <col min="8944" max="8944" width="29.7109375" style="79" customWidth="1"/>
    <col min="8945" max="8945" width="11.42578125" style="79" customWidth="1"/>
    <col min="8946" max="8946" width="7.5703125" style="79" customWidth="1"/>
    <col min="8947" max="8947" width="11.7109375" style="79" customWidth="1"/>
    <col min="8948" max="8948" width="7.140625" style="79" customWidth="1"/>
    <col min="8949" max="8949" width="0" style="79" hidden="1" customWidth="1"/>
    <col min="8950" max="8951" width="19.140625" style="79" customWidth="1"/>
    <col min="8952" max="8952" width="20.42578125" style="79" customWidth="1"/>
    <col min="8953" max="8953" width="20.85546875" style="79" customWidth="1"/>
    <col min="8954" max="8955" width="22" style="79" customWidth="1"/>
    <col min="8956" max="8956" width="0" style="79" hidden="1" customWidth="1"/>
    <col min="8957" max="8957" width="27.28515625" style="79" customWidth="1"/>
    <col min="8958" max="8958" width="18.140625" style="79" bestFit="1" customWidth="1"/>
    <col min="8959" max="8959" width="11.42578125" style="79" bestFit="1" customWidth="1"/>
    <col min="8960" max="8960" width="11.5703125" style="79" bestFit="1" customWidth="1"/>
    <col min="8961" max="9196" width="9.140625" style="79"/>
    <col min="9197" max="9197" width="0" style="79" hidden="1" customWidth="1"/>
    <col min="9198" max="9198" width="21.7109375" style="79" customWidth="1"/>
    <col min="9199" max="9199" width="48.140625" style="79" customWidth="1"/>
    <col min="9200" max="9200" width="29.7109375" style="79" customWidth="1"/>
    <col min="9201" max="9201" width="11.42578125" style="79" customWidth="1"/>
    <col min="9202" max="9202" width="7.5703125" style="79" customWidth="1"/>
    <col min="9203" max="9203" width="11.7109375" style="79" customWidth="1"/>
    <col min="9204" max="9204" width="7.140625" style="79" customWidth="1"/>
    <col min="9205" max="9205" width="0" style="79" hidden="1" customWidth="1"/>
    <col min="9206" max="9207" width="19.140625" style="79" customWidth="1"/>
    <col min="9208" max="9208" width="20.42578125" style="79" customWidth="1"/>
    <col min="9209" max="9209" width="20.85546875" style="79" customWidth="1"/>
    <col min="9210" max="9211" width="22" style="79" customWidth="1"/>
    <col min="9212" max="9212" width="0" style="79" hidden="1" customWidth="1"/>
    <col min="9213" max="9213" width="27.28515625" style="79" customWidth="1"/>
    <col min="9214" max="9214" width="18.140625" style="79" bestFit="1" customWidth="1"/>
    <col min="9215" max="9215" width="11.42578125" style="79" bestFit="1" customWidth="1"/>
    <col min="9216" max="9216" width="11.5703125" style="79" bestFit="1" customWidth="1"/>
    <col min="9217" max="9452" width="9.140625" style="79"/>
    <col min="9453" max="9453" width="0" style="79" hidden="1" customWidth="1"/>
    <col min="9454" max="9454" width="21.7109375" style="79" customWidth="1"/>
    <col min="9455" max="9455" width="48.140625" style="79" customWidth="1"/>
    <col min="9456" max="9456" width="29.7109375" style="79" customWidth="1"/>
    <col min="9457" max="9457" width="11.42578125" style="79" customWidth="1"/>
    <col min="9458" max="9458" width="7.5703125" style="79" customWidth="1"/>
    <col min="9459" max="9459" width="11.7109375" style="79" customWidth="1"/>
    <col min="9460" max="9460" width="7.140625" style="79" customWidth="1"/>
    <col min="9461" max="9461" width="0" style="79" hidden="1" customWidth="1"/>
    <col min="9462" max="9463" width="19.140625" style="79" customWidth="1"/>
    <col min="9464" max="9464" width="20.42578125" style="79" customWidth="1"/>
    <col min="9465" max="9465" width="20.85546875" style="79" customWidth="1"/>
    <col min="9466" max="9467" width="22" style="79" customWidth="1"/>
    <col min="9468" max="9468" width="0" style="79" hidden="1" customWidth="1"/>
    <col min="9469" max="9469" width="27.28515625" style="79" customWidth="1"/>
    <col min="9470" max="9470" width="18.140625" style="79" bestFit="1" customWidth="1"/>
    <col min="9471" max="9471" width="11.42578125" style="79" bestFit="1" customWidth="1"/>
    <col min="9472" max="9472" width="11.5703125" style="79" bestFit="1" customWidth="1"/>
    <col min="9473" max="9708" width="9.140625" style="79"/>
    <col min="9709" max="9709" width="0" style="79" hidden="1" customWidth="1"/>
    <col min="9710" max="9710" width="21.7109375" style="79" customWidth="1"/>
    <col min="9711" max="9711" width="48.140625" style="79" customWidth="1"/>
    <col min="9712" max="9712" width="29.7109375" style="79" customWidth="1"/>
    <col min="9713" max="9713" width="11.42578125" style="79" customWidth="1"/>
    <col min="9714" max="9714" width="7.5703125" style="79" customWidth="1"/>
    <col min="9715" max="9715" width="11.7109375" style="79" customWidth="1"/>
    <col min="9716" max="9716" width="7.140625" style="79" customWidth="1"/>
    <col min="9717" max="9717" width="0" style="79" hidden="1" customWidth="1"/>
    <col min="9718" max="9719" width="19.140625" style="79" customWidth="1"/>
    <col min="9720" max="9720" width="20.42578125" style="79" customWidth="1"/>
    <col min="9721" max="9721" width="20.85546875" style="79" customWidth="1"/>
    <col min="9722" max="9723" width="22" style="79" customWidth="1"/>
    <col min="9724" max="9724" width="0" style="79" hidden="1" customWidth="1"/>
    <col min="9725" max="9725" width="27.28515625" style="79" customWidth="1"/>
    <col min="9726" max="9726" width="18.140625" style="79" bestFit="1" customWidth="1"/>
    <col min="9727" max="9727" width="11.42578125" style="79" bestFit="1" customWidth="1"/>
    <col min="9728" max="9728" width="11.5703125" style="79" bestFit="1" customWidth="1"/>
    <col min="9729" max="9964" width="9.140625" style="79"/>
    <col min="9965" max="9965" width="0" style="79" hidden="1" customWidth="1"/>
    <col min="9966" max="9966" width="21.7109375" style="79" customWidth="1"/>
    <col min="9967" max="9967" width="48.140625" style="79" customWidth="1"/>
    <col min="9968" max="9968" width="29.7109375" style="79" customWidth="1"/>
    <col min="9969" max="9969" width="11.42578125" style="79" customWidth="1"/>
    <col min="9970" max="9970" width="7.5703125" style="79" customWidth="1"/>
    <col min="9971" max="9971" width="11.7109375" style="79" customWidth="1"/>
    <col min="9972" max="9972" width="7.140625" style="79" customWidth="1"/>
    <col min="9973" max="9973" width="0" style="79" hidden="1" customWidth="1"/>
    <col min="9974" max="9975" width="19.140625" style="79" customWidth="1"/>
    <col min="9976" max="9976" width="20.42578125" style="79" customWidth="1"/>
    <col min="9977" max="9977" width="20.85546875" style="79" customWidth="1"/>
    <col min="9978" max="9979" width="22" style="79" customWidth="1"/>
    <col min="9980" max="9980" width="0" style="79" hidden="1" customWidth="1"/>
    <col min="9981" max="9981" width="27.28515625" style="79" customWidth="1"/>
    <col min="9982" max="9982" width="18.140625" style="79" bestFit="1" customWidth="1"/>
    <col min="9983" max="9983" width="11.42578125" style="79" bestFit="1" customWidth="1"/>
    <col min="9984" max="9984" width="11.5703125" style="79" bestFit="1" customWidth="1"/>
    <col min="9985" max="10220" width="9.140625" style="79"/>
    <col min="10221" max="10221" width="0" style="79" hidden="1" customWidth="1"/>
    <col min="10222" max="10222" width="21.7109375" style="79" customWidth="1"/>
    <col min="10223" max="10223" width="48.140625" style="79" customWidth="1"/>
    <col min="10224" max="10224" width="29.7109375" style="79" customWidth="1"/>
    <col min="10225" max="10225" width="11.42578125" style="79" customWidth="1"/>
    <col min="10226" max="10226" width="7.5703125" style="79" customWidth="1"/>
    <col min="10227" max="10227" width="11.7109375" style="79" customWidth="1"/>
    <col min="10228" max="10228" width="7.140625" style="79" customWidth="1"/>
    <col min="10229" max="10229" width="0" style="79" hidden="1" customWidth="1"/>
    <col min="10230" max="10231" width="19.140625" style="79" customWidth="1"/>
    <col min="10232" max="10232" width="20.42578125" style="79" customWidth="1"/>
    <col min="10233" max="10233" width="20.85546875" style="79" customWidth="1"/>
    <col min="10234" max="10235" width="22" style="79" customWidth="1"/>
    <col min="10236" max="10236" width="0" style="79" hidden="1" customWidth="1"/>
    <col min="10237" max="10237" width="27.28515625" style="79" customWidth="1"/>
    <col min="10238" max="10238" width="18.140625" style="79" bestFit="1" customWidth="1"/>
    <col min="10239" max="10239" width="11.42578125" style="79" bestFit="1" customWidth="1"/>
    <col min="10240" max="10240" width="11.5703125" style="79" bestFit="1" customWidth="1"/>
    <col min="10241" max="10476" width="9.140625" style="79"/>
    <col min="10477" max="10477" width="0" style="79" hidden="1" customWidth="1"/>
    <col min="10478" max="10478" width="21.7109375" style="79" customWidth="1"/>
    <col min="10479" max="10479" width="48.140625" style="79" customWidth="1"/>
    <col min="10480" max="10480" width="29.7109375" style="79" customWidth="1"/>
    <col min="10481" max="10481" width="11.42578125" style="79" customWidth="1"/>
    <col min="10482" max="10482" width="7.5703125" style="79" customWidth="1"/>
    <col min="10483" max="10483" width="11.7109375" style="79" customWidth="1"/>
    <col min="10484" max="10484" width="7.140625" style="79" customWidth="1"/>
    <col min="10485" max="10485" width="0" style="79" hidden="1" customWidth="1"/>
    <col min="10486" max="10487" width="19.140625" style="79" customWidth="1"/>
    <col min="10488" max="10488" width="20.42578125" style="79" customWidth="1"/>
    <col min="10489" max="10489" width="20.85546875" style="79" customWidth="1"/>
    <col min="10490" max="10491" width="22" style="79" customWidth="1"/>
    <col min="10492" max="10492" width="0" style="79" hidden="1" customWidth="1"/>
    <col min="10493" max="10493" width="27.28515625" style="79" customWidth="1"/>
    <col min="10494" max="10494" width="18.140625" style="79" bestFit="1" customWidth="1"/>
    <col min="10495" max="10495" width="11.42578125" style="79" bestFit="1" customWidth="1"/>
    <col min="10496" max="10496" width="11.5703125" style="79" bestFit="1" customWidth="1"/>
    <col min="10497" max="10732" width="9.140625" style="79"/>
    <col min="10733" max="10733" width="0" style="79" hidden="1" customWidth="1"/>
    <col min="10734" max="10734" width="21.7109375" style="79" customWidth="1"/>
    <col min="10735" max="10735" width="48.140625" style="79" customWidth="1"/>
    <col min="10736" max="10736" width="29.7109375" style="79" customWidth="1"/>
    <col min="10737" max="10737" width="11.42578125" style="79" customWidth="1"/>
    <col min="10738" max="10738" width="7.5703125" style="79" customWidth="1"/>
    <col min="10739" max="10739" width="11.7109375" style="79" customWidth="1"/>
    <col min="10740" max="10740" width="7.140625" style="79" customWidth="1"/>
    <col min="10741" max="10741" width="0" style="79" hidden="1" customWidth="1"/>
    <col min="10742" max="10743" width="19.140625" style="79" customWidth="1"/>
    <col min="10744" max="10744" width="20.42578125" style="79" customWidth="1"/>
    <col min="10745" max="10745" width="20.85546875" style="79" customWidth="1"/>
    <col min="10746" max="10747" width="22" style="79" customWidth="1"/>
    <col min="10748" max="10748" width="0" style="79" hidden="1" customWidth="1"/>
    <col min="10749" max="10749" width="27.28515625" style="79" customWidth="1"/>
    <col min="10750" max="10750" width="18.140625" style="79" bestFit="1" customWidth="1"/>
    <col min="10751" max="10751" width="11.42578125" style="79" bestFit="1" customWidth="1"/>
    <col min="10752" max="10752" width="11.5703125" style="79" bestFit="1" customWidth="1"/>
    <col min="10753" max="10988" width="9.140625" style="79"/>
    <col min="10989" max="10989" width="0" style="79" hidden="1" customWidth="1"/>
    <col min="10990" max="10990" width="21.7109375" style="79" customWidth="1"/>
    <col min="10991" max="10991" width="48.140625" style="79" customWidth="1"/>
    <col min="10992" max="10992" width="29.7109375" style="79" customWidth="1"/>
    <col min="10993" max="10993" width="11.42578125" style="79" customWidth="1"/>
    <col min="10994" max="10994" width="7.5703125" style="79" customWidth="1"/>
    <col min="10995" max="10995" width="11.7109375" style="79" customWidth="1"/>
    <col min="10996" max="10996" width="7.140625" style="79" customWidth="1"/>
    <col min="10997" max="10997" width="0" style="79" hidden="1" customWidth="1"/>
    <col min="10998" max="10999" width="19.140625" style="79" customWidth="1"/>
    <col min="11000" max="11000" width="20.42578125" style="79" customWidth="1"/>
    <col min="11001" max="11001" width="20.85546875" style="79" customWidth="1"/>
    <col min="11002" max="11003" width="22" style="79" customWidth="1"/>
    <col min="11004" max="11004" width="0" style="79" hidden="1" customWidth="1"/>
    <col min="11005" max="11005" width="27.28515625" style="79" customWidth="1"/>
    <col min="11006" max="11006" width="18.140625" style="79" bestFit="1" customWidth="1"/>
    <col min="11007" max="11007" width="11.42578125" style="79" bestFit="1" customWidth="1"/>
    <col min="11008" max="11008" width="11.5703125" style="79" bestFit="1" customWidth="1"/>
    <col min="11009" max="11244" width="9.140625" style="79"/>
    <col min="11245" max="11245" width="0" style="79" hidden="1" customWidth="1"/>
    <col min="11246" max="11246" width="21.7109375" style="79" customWidth="1"/>
    <col min="11247" max="11247" width="48.140625" style="79" customWidth="1"/>
    <col min="11248" max="11248" width="29.7109375" style="79" customWidth="1"/>
    <col min="11249" max="11249" width="11.42578125" style="79" customWidth="1"/>
    <col min="11250" max="11250" width="7.5703125" style="79" customWidth="1"/>
    <col min="11251" max="11251" width="11.7109375" style="79" customWidth="1"/>
    <col min="11252" max="11252" width="7.140625" style="79" customWidth="1"/>
    <col min="11253" max="11253" width="0" style="79" hidden="1" customWidth="1"/>
    <col min="11254" max="11255" width="19.140625" style="79" customWidth="1"/>
    <col min="11256" max="11256" width="20.42578125" style="79" customWidth="1"/>
    <col min="11257" max="11257" width="20.85546875" style="79" customWidth="1"/>
    <col min="11258" max="11259" width="22" style="79" customWidth="1"/>
    <col min="11260" max="11260" width="0" style="79" hidden="1" customWidth="1"/>
    <col min="11261" max="11261" width="27.28515625" style="79" customWidth="1"/>
    <col min="11262" max="11262" width="18.140625" style="79" bestFit="1" customWidth="1"/>
    <col min="11263" max="11263" width="11.42578125" style="79" bestFit="1" customWidth="1"/>
    <col min="11264" max="11264" width="11.5703125" style="79" bestFit="1" customWidth="1"/>
    <col min="11265" max="11500" width="9.140625" style="79"/>
    <col min="11501" max="11501" width="0" style="79" hidden="1" customWidth="1"/>
    <col min="11502" max="11502" width="21.7109375" style="79" customWidth="1"/>
    <col min="11503" max="11503" width="48.140625" style="79" customWidth="1"/>
    <col min="11504" max="11504" width="29.7109375" style="79" customWidth="1"/>
    <col min="11505" max="11505" width="11.42578125" style="79" customWidth="1"/>
    <col min="11506" max="11506" width="7.5703125" style="79" customWidth="1"/>
    <col min="11507" max="11507" width="11.7109375" style="79" customWidth="1"/>
    <col min="11508" max="11508" width="7.140625" style="79" customWidth="1"/>
    <col min="11509" max="11509" width="0" style="79" hidden="1" customWidth="1"/>
    <col min="11510" max="11511" width="19.140625" style="79" customWidth="1"/>
    <col min="11512" max="11512" width="20.42578125" style="79" customWidth="1"/>
    <col min="11513" max="11513" width="20.85546875" style="79" customWidth="1"/>
    <col min="11514" max="11515" width="22" style="79" customWidth="1"/>
    <col min="11516" max="11516" width="0" style="79" hidden="1" customWidth="1"/>
    <col min="11517" max="11517" width="27.28515625" style="79" customWidth="1"/>
    <col min="11518" max="11518" width="18.140625" style="79" bestFit="1" customWidth="1"/>
    <col min="11519" max="11519" width="11.42578125" style="79" bestFit="1" customWidth="1"/>
    <col min="11520" max="11520" width="11.5703125" style="79" bestFit="1" customWidth="1"/>
    <col min="11521" max="11756" width="9.140625" style="79"/>
    <col min="11757" max="11757" width="0" style="79" hidden="1" customWidth="1"/>
    <col min="11758" max="11758" width="21.7109375" style="79" customWidth="1"/>
    <col min="11759" max="11759" width="48.140625" style="79" customWidth="1"/>
    <col min="11760" max="11760" width="29.7109375" style="79" customWidth="1"/>
    <col min="11761" max="11761" width="11.42578125" style="79" customWidth="1"/>
    <col min="11762" max="11762" width="7.5703125" style="79" customWidth="1"/>
    <col min="11763" max="11763" width="11.7109375" style="79" customWidth="1"/>
    <col min="11764" max="11764" width="7.140625" style="79" customWidth="1"/>
    <col min="11765" max="11765" width="0" style="79" hidden="1" customWidth="1"/>
    <col min="11766" max="11767" width="19.140625" style="79" customWidth="1"/>
    <col min="11768" max="11768" width="20.42578125" style="79" customWidth="1"/>
    <col min="11769" max="11769" width="20.85546875" style="79" customWidth="1"/>
    <col min="11770" max="11771" width="22" style="79" customWidth="1"/>
    <col min="11772" max="11772" width="0" style="79" hidden="1" customWidth="1"/>
    <col min="11773" max="11773" width="27.28515625" style="79" customWidth="1"/>
    <col min="11774" max="11774" width="18.140625" style="79" bestFit="1" customWidth="1"/>
    <col min="11775" max="11775" width="11.42578125" style="79" bestFit="1" customWidth="1"/>
    <col min="11776" max="11776" width="11.5703125" style="79" bestFit="1" customWidth="1"/>
    <col min="11777" max="12012" width="9.140625" style="79"/>
    <col min="12013" max="12013" width="0" style="79" hidden="1" customWidth="1"/>
    <col min="12014" max="12014" width="21.7109375" style="79" customWidth="1"/>
    <col min="12015" max="12015" width="48.140625" style="79" customWidth="1"/>
    <col min="12016" max="12016" width="29.7109375" style="79" customWidth="1"/>
    <col min="12017" max="12017" width="11.42578125" style="79" customWidth="1"/>
    <col min="12018" max="12018" width="7.5703125" style="79" customWidth="1"/>
    <col min="12019" max="12019" width="11.7109375" style="79" customWidth="1"/>
    <col min="12020" max="12020" width="7.140625" style="79" customWidth="1"/>
    <col min="12021" max="12021" width="0" style="79" hidden="1" customWidth="1"/>
    <col min="12022" max="12023" width="19.140625" style="79" customWidth="1"/>
    <col min="12024" max="12024" width="20.42578125" style="79" customWidth="1"/>
    <col min="12025" max="12025" width="20.85546875" style="79" customWidth="1"/>
    <col min="12026" max="12027" width="22" style="79" customWidth="1"/>
    <col min="12028" max="12028" width="0" style="79" hidden="1" customWidth="1"/>
    <col min="12029" max="12029" width="27.28515625" style="79" customWidth="1"/>
    <col min="12030" max="12030" width="18.140625" style="79" bestFit="1" customWidth="1"/>
    <col min="12031" max="12031" width="11.42578125" style="79" bestFit="1" customWidth="1"/>
    <col min="12032" max="12032" width="11.5703125" style="79" bestFit="1" customWidth="1"/>
    <col min="12033" max="12268" width="9.140625" style="79"/>
    <col min="12269" max="12269" width="0" style="79" hidden="1" customWidth="1"/>
    <col min="12270" max="12270" width="21.7109375" style="79" customWidth="1"/>
    <col min="12271" max="12271" width="48.140625" style="79" customWidth="1"/>
    <col min="12272" max="12272" width="29.7109375" style="79" customWidth="1"/>
    <col min="12273" max="12273" width="11.42578125" style="79" customWidth="1"/>
    <col min="12274" max="12274" width="7.5703125" style="79" customWidth="1"/>
    <col min="12275" max="12275" width="11.7109375" style="79" customWidth="1"/>
    <col min="12276" max="12276" width="7.140625" style="79" customWidth="1"/>
    <col min="12277" max="12277" width="0" style="79" hidden="1" customWidth="1"/>
    <col min="12278" max="12279" width="19.140625" style="79" customWidth="1"/>
    <col min="12280" max="12280" width="20.42578125" style="79" customWidth="1"/>
    <col min="12281" max="12281" width="20.85546875" style="79" customWidth="1"/>
    <col min="12282" max="12283" width="22" style="79" customWidth="1"/>
    <col min="12284" max="12284" width="0" style="79" hidden="1" customWidth="1"/>
    <col min="12285" max="12285" width="27.28515625" style="79" customWidth="1"/>
    <col min="12286" max="12286" width="18.140625" style="79" bestFit="1" customWidth="1"/>
    <col min="12287" max="12287" width="11.42578125" style="79" bestFit="1" customWidth="1"/>
    <col min="12288" max="12288" width="11.5703125" style="79" bestFit="1" customWidth="1"/>
    <col min="12289" max="12524" width="9.140625" style="79"/>
    <col min="12525" max="12525" width="0" style="79" hidden="1" customWidth="1"/>
    <col min="12526" max="12526" width="21.7109375" style="79" customWidth="1"/>
    <col min="12527" max="12527" width="48.140625" style="79" customWidth="1"/>
    <col min="12528" max="12528" width="29.7109375" style="79" customWidth="1"/>
    <col min="12529" max="12529" width="11.42578125" style="79" customWidth="1"/>
    <col min="12530" max="12530" width="7.5703125" style="79" customWidth="1"/>
    <col min="12531" max="12531" width="11.7109375" style="79" customWidth="1"/>
    <col min="12532" max="12532" width="7.140625" style="79" customWidth="1"/>
    <col min="12533" max="12533" width="0" style="79" hidden="1" customWidth="1"/>
    <col min="12534" max="12535" width="19.140625" style="79" customWidth="1"/>
    <col min="12536" max="12536" width="20.42578125" style="79" customWidth="1"/>
    <col min="12537" max="12537" width="20.85546875" style="79" customWidth="1"/>
    <col min="12538" max="12539" width="22" style="79" customWidth="1"/>
    <col min="12540" max="12540" width="0" style="79" hidden="1" customWidth="1"/>
    <col min="12541" max="12541" width="27.28515625" style="79" customWidth="1"/>
    <col min="12542" max="12542" width="18.140625" style="79" bestFit="1" customWidth="1"/>
    <col min="12543" max="12543" width="11.42578125" style="79" bestFit="1" customWidth="1"/>
    <col min="12544" max="12544" width="11.5703125" style="79" bestFit="1" customWidth="1"/>
    <col min="12545" max="12780" width="9.140625" style="79"/>
    <col min="12781" max="12781" width="0" style="79" hidden="1" customWidth="1"/>
    <col min="12782" max="12782" width="21.7109375" style="79" customWidth="1"/>
    <col min="12783" max="12783" width="48.140625" style="79" customWidth="1"/>
    <col min="12784" max="12784" width="29.7109375" style="79" customWidth="1"/>
    <col min="12785" max="12785" width="11.42578125" style="79" customWidth="1"/>
    <col min="12786" max="12786" width="7.5703125" style="79" customWidth="1"/>
    <col min="12787" max="12787" width="11.7109375" style="79" customWidth="1"/>
    <col min="12788" max="12788" width="7.140625" style="79" customWidth="1"/>
    <col min="12789" max="12789" width="0" style="79" hidden="1" customWidth="1"/>
    <col min="12790" max="12791" width="19.140625" style="79" customWidth="1"/>
    <col min="12792" max="12792" width="20.42578125" style="79" customWidth="1"/>
    <col min="12793" max="12793" width="20.85546875" style="79" customWidth="1"/>
    <col min="12794" max="12795" width="22" style="79" customWidth="1"/>
    <col min="12796" max="12796" width="0" style="79" hidden="1" customWidth="1"/>
    <col min="12797" max="12797" width="27.28515625" style="79" customWidth="1"/>
    <col min="12798" max="12798" width="18.140625" style="79" bestFit="1" customWidth="1"/>
    <col min="12799" max="12799" width="11.42578125" style="79" bestFit="1" customWidth="1"/>
    <col min="12800" max="12800" width="11.5703125" style="79" bestFit="1" customWidth="1"/>
    <col min="12801" max="13036" width="9.140625" style="79"/>
    <col min="13037" max="13037" width="0" style="79" hidden="1" customWidth="1"/>
    <col min="13038" max="13038" width="21.7109375" style="79" customWidth="1"/>
    <col min="13039" max="13039" width="48.140625" style="79" customWidth="1"/>
    <col min="13040" max="13040" width="29.7109375" style="79" customWidth="1"/>
    <col min="13041" max="13041" width="11.42578125" style="79" customWidth="1"/>
    <col min="13042" max="13042" width="7.5703125" style="79" customWidth="1"/>
    <col min="13043" max="13043" width="11.7109375" style="79" customWidth="1"/>
    <col min="13044" max="13044" width="7.140625" style="79" customWidth="1"/>
    <col min="13045" max="13045" width="0" style="79" hidden="1" customWidth="1"/>
    <col min="13046" max="13047" width="19.140625" style="79" customWidth="1"/>
    <col min="13048" max="13048" width="20.42578125" style="79" customWidth="1"/>
    <col min="13049" max="13049" width="20.85546875" style="79" customWidth="1"/>
    <col min="13050" max="13051" width="22" style="79" customWidth="1"/>
    <col min="13052" max="13052" width="0" style="79" hidden="1" customWidth="1"/>
    <col min="13053" max="13053" width="27.28515625" style="79" customWidth="1"/>
    <col min="13054" max="13054" width="18.140625" style="79" bestFit="1" customWidth="1"/>
    <col min="13055" max="13055" width="11.42578125" style="79" bestFit="1" customWidth="1"/>
    <col min="13056" max="13056" width="11.5703125" style="79" bestFit="1" customWidth="1"/>
    <col min="13057" max="13292" width="9.140625" style="79"/>
    <col min="13293" max="13293" width="0" style="79" hidden="1" customWidth="1"/>
    <col min="13294" max="13294" width="21.7109375" style="79" customWidth="1"/>
    <col min="13295" max="13295" width="48.140625" style="79" customWidth="1"/>
    <col min="13296" max="13296" width="29.7109375" style="79" customWidth="1"/>
    <col min="13297" max="13297" width="11.42578125" style="79" customWidth="1"/>
    <col min="13298" max="13298" width="7.5703125" style="79" customWidth="1"/>
    <col min="13299" max="13299" width="11.7109375" style="79" customWidth="1"/>
    <col min="13300" max="13300" width="7.140625" style="79" customWidth="1"/>
    <col min="13301" max="13301" width="0" style="79" hidden="1" customWidth="1"/>
    <col min="13302" max="13303" width="19.140625" style="79" customWidth="1"/>
    <col min="13304" max="13304" width="20.42578125" style="79" customWidth="1"/>
    <col min="13305" max="13305" width="20.85546875" style="79" customWidth="1"/>
    <col min="13306" max="13307" width="22" style="79" customWidth="1"/>
    <col min="13308" max="13308" width="0" style="79" hidden="1" customWidth="1"/>
    <col min="13309" max="13309" width="27.28515625" style="79" customWidth="1"/>
    <col min="13310" max="13310" width="18.140625" style="79" bestFit="1" customWidth="1"/>
    <col min="13311" max="13311" width="11.42578125" style="79" bestFit="1" customWidth="1"/>
    <col min="13312" max="13312" width="11.5703125" style="79" bestFit="1" customWidth="1"/>
    <col min="13313" max="13548" width="9.140625" style="79"/>
    <col min="13549" max="13549" width="0" style="79" hidden="1" customWidth="1"/>
    <col min="13550" max="13550" width="21.7109375" style="79" customWidth="1"/>
    <col min="13551" max="13551" width="48.140625" style="79" customWidth="1"/>
    <col min="13552" max="13552" width="29.7109375" style="79" customWidth="1"/>
    <col min="13553" max="13553" width="11.42578125" style="79" customWidth="1"/>
    <col min="13554" max="13554" width="7.5703125" style="79" customWidth="1"/>
    <col min="13555" max="13555" width="11.7109375" style="79" customWidth="1"/>
    <col min="13556" max="13556" width="7.140625" style="79" customWidth="1"/>
    <col min="13557" max="13557" width="0" style="79" hidden="1" customWidth="1"/>
    <col min="13558" max="13559" width="19.140625" style="79" customWidth="1"/>
    <col min="13560" max="13560" width="20.42578125" style="79" customWidth="1"/>
    <col min="13561" max="13561" width="20.85546875" style="79" customWidth="1"/>
    <col min="13562" max="13563" width="22" style="79" customWidth="1"/>
    <col min="13564" max="13564" width="0" style="79" hidden="1" customWidth="1"/>
    <col min="13565" max="13565" width="27.28515625" style="79" customWidth="1"/>
    <col min="13566" max="13566" width="18.140625" style="79" bestFit="1" customWidth="1"/>
    <col min="13567" max="13567" width="11.42578125" style="79" bestFit="1" customWidth="1"/>
    <col min="13568" max="13568" width="11.5703125" style="79" bestFit="1" customWidth="1"/>
    <col min="13569" max="13804" width="9.140625" style="79"/>
    <col min="13805" max="13805" width="0" style="79" hidden="1" customWidth="1"/>
    <col min="13806" max="13806" width="21.7109375" style="79" customWidth="1"/>
    <col min="13807" max="13807" width="48.140625" style="79" customWidth="1"/>
    <col min="13808" max="13808" width="29.7109375" style="79" customWidth="1"/>
    <col min="13809" max="13809" width="11.42578125" style="79" customWidth="1"/>
    <col min="13810" max="13810" width="7.5703125" style="79" customWidth="1"/>
    <col min="13811" max="13811" width="11.7109375" style="79" customWidth="1"/>
    <col min="13812" max="13812" width="7.140625" style="79" customWidth="1"/>
    <col min="13813" max="13813" width="0" style="79" hidden="1" customWidth="1"/>
    <col min="13814" max="13815" width="19.140625" style="79" customWidth="1"/>
    <col min="13816" max="13816" width="20.42578125" style="79" customWidth="1"/>
    <col min="13817" max="13817" width="20.85546875" style="79" customWidth="1"/>
    <col min="13818" max="13819" width="22" style="79" customWidth="1"/>
    <col min="13820" max="13820" width="0" style="79" hidden="1" customWidth="1"/>
    <col min="13821" max="13821" width="27.28515625" style="79" customWidth="1"/>
    <col min="13822" max="13822" width="18.140625" style="79" bestFit="1" customWidth="1"/>
    <col min="13823" max="13823" width="11.42578125" style="79" bestFit="1" customWidth="1"/>
    <col min="13824" max="13824" width="11.5703125" style="79" bestFit="1" customWidth="1"/>
    <col min="13825" max="14060" width="9.140625" style="79"/>
    <col min="14061" max="14061" width="0" style="79" hidden="1" customWidth="1"/>
    <col min="14062" max="14062" width="21.7109375" style="79" customWidth="1"/>
    <col min="14063" max="14063" width="48.140625" style="79" customWidth="1"/>
    <col min="14064" max="14064" width="29.7109375" style="79" customWidth="1"/>
    <col min="14065" max="14065" width="11.42578125" style="79" customWidth="1"/>
    <col min="14066" max="14066" width="7.5703125" style="79" customWidth="1"/>
    <col min="14067" max="14067" width="11.7109375" style="79" customWidth="1"/>
    <col min="14068" max="14068" width="7.140625" style="79" customWidth="1"/>
    <col min="14069" max="14069" width="0" style="79" hidden="1" customWidth="1"/>
    <col min="14070" max="14071" width="19.140625" style="79" customWidth="1"/>
    <col min="14072" max="14072" width="20.42578125" style="79" customWidth="1"/>
    <col min="14073" max="14073" width="20.85546875" style="79" customWidth="1"/>
    <col min="14074" max="14075" width="22" style="79" customWidth="1"/>
    <col min="14076" max="14076" width="0" style="79" hidden="1" customWidth="1"/>
    <col min="14077" max="14077" width="27.28515625" style="79" customWidth="1"/>
    <col min="14078" max="14078" width="18.140625" style="79" bestFit="1" customWidth="1"/>
    <col min="14079" max="14079" width="11.42578125" style="79" bestFit="1" customWidth="1"/>
    <col min="14080" max="14080" width="11.5703125" style="79" bestFit="1" customWidth="1"/>
    <col min="14081" max="14316" width="9.140625" style="79"/>
    <col min="14317" max="14317" width="0" style="79" hidden="1" customWidth="1"/>
    <col min="14318" max="14318" width="21.7109375" style="79" customWidth="1"/>
    <col min="14319" max="14319" width="48.140625" style="79" customWidth="1"/>
    <col min="14320" max="14320" width="29.7109375" style="79" customWidth="1"/>
    <col min="14321" max="14321" width="11.42578125" style="79" customWidth="1"/>
    <col min="14322" max="14322" width="7.5703125" style="79" customWidth="1"/>
    <col min="14323" max="14323" width="11.7109375" style="79" customWidth="1"/>
    <col min="14324" max="14324" width="7.140625" style="79" customWidth="1"/>
    <col min="14325" max="14325" width="0" style="79" hidden="1" customWidth="1"/>
    <col min="14326" max="14327" width="19.140625" style="79" customWidth="1"/>
    <col min="14328" max="14328" width="20.42578125" style="79" customWidth="1"/>
    <col min="14329" max="14329" width="20.85546875" style="79" customWidth="1"/>
    <col min="14330" max="14331" width="22" style="79" customWidth="1"/>
    <col min="14332" max="14332" width="0" style="79" hidden="1" customWidth="1"/>
    <col min="14333" max="14333" width="27.28515625" style="79" customWidth="1"/>
    <col min="14334" max="14334" width="18.140625" style="79" bestFit="1" customWidth="1"/>
    <col min="14335" max="14335" width="11.42578125" style="79" bestFit="1" customWidth="1"/>
    <col min="14336" max="14336" width="11.5703125" style="79" bestFit="1" customWidth="1"/>
    <col min="14337" max="14572" width="9.140625" style="79"/>
    <col min="14573" max="14573" width="0" style="79" hidden="1" customWidth="1"/>
    <col min="14574" max="14574" width="21.7109375" style="79" customWidth="1"/>
    <col min="14575" max="14575" width="48.140625" style="79" customWidth="1"/>
    <col min="14576" max="14576" width="29.7109375" style="79" customWidth="1"/>
    <col min="14577" max="14577" width="11.42578125" style="79" customWidth="1"/>
    <col min="14578" max="14578" width="7.5703125" style="79" customWidth="1"/>
    <col min="14579" max="14579" width="11.7109375" style="79" customWidth="1"/>
    <col min="14580" max="14580" width="7.140625" style="79" customWidth="1"/>
    <col min="14581" max="14581" width="0" style="79" hidden="1" customWidth="1"/>
    <col min="14582" max="14583" width="19.140625" style="79" customWidth="1"/>
    <col min="14584" max="14584" width="20.42578125" style="79" customWidth="1"/>
    <col min="14585" max="14585" width="20.85546875" style="79" customWidth="1"/>
    <col min="14586" max="14587" width="22" style="79" customWidth="1"/>
    <col min="14588" max="14588" width="0" style="79" hidden="1" customWidth="1"/>
    <col min="14589" max="14589" width="27.28515625" style="79" customWidth="1"/>
    <col min="14590" max="14590" width="18.140625" style="79" bestFit="1" customWidth="1"/>
    <col min="14591" max="14591" width="11.42578125" style="79" bestFit="1" customWidth="1"/>
    <col min="14592" max="14592" width="11.5703125" style="79" bestFit="1" customWidth="1"/>
    <col min="14593" max="14828" width="9.140625" style="79"/>
    <col min="14829" max="14829" width="0" style="79" hidden="1" customWidth="1"/>
    <col min="14830" max="14830" width="21.7109375" style="79" customWidth="1"/>
    <col min="14831" max="14831" width="48.140625" style="79" customWidth="1"/>
    <col min="14832" max="14832" width="29.7109375" style="79" customWidth="1"/>
    <col min="14833" max="14833" width="11.42578125" style="79" customWidth="1"/>
    <col min="14834" max="14834" width="7.5703125" style="79" customWidth="1"/>
    <col min="14835" max="14835" width="11.7109375" style="79" customWidth="1"/>
    <col min="14836" max="14836" width="7.140625" style="79" customWidth="1"/>
    <col min="14837" max="14837" width="0" style="79" hidden="1" customWidth="1"/>
    <col min="14838" max="14839" width="19.140625" style="79" customWidth="1"/>
    <col min="14840" max="14840" width="20.42578125" style="79" customWidth="1"/>
    <col min="14841" max="14841" width="20.85546875" style="79" customWidth="1"/>
    <col min="14842" max="14843" width="22" style="79" customWidth="1"/>
    <col min="14844" max="14844" width="0" style="79" hidden="1" customWidth="1"/>
    <col min="14845" max="14845" width="27.28515625" style="79" customWidth="1"/>
    <col min="14846" max="14846" width="18.140625" style="79" bestFit="1" customWidth="1"/>
    <col min="14847" max="14847" width="11.42578125" style="79" bestFit="1" customWidth="1"/>
    <col min="14848" max="14848" width="11.5703125" style="79" bestFit="1" customWidth="1"/>
    <col min="14849" max="15084" width="9.140625" style="79"/>
    <col min="15085" max="15085" width="0" style="79" hidden="1" customWidth="1"/>
    <col min="15086" max="15086" width="21.7109375" style="79" customWidth="1"/>
    <col min="15087" max="15087" width="48.140625" style="79" customWidth="1"/>
    <col min="15088" max="15088" width="29.7109375" style="79" customWidth="1"/>
    <col min="15089" max="15089" width="11.42578125" style="79" customWidth="1"/>
    <col min="15090" max="15090" width="7.5703125" style="79" customWidth="1"/>
    <col min="15091" max="15091" width="11.7109375" style="79" customWidth="1"/>
    <col min="15092" max="15092" width="7.140625" style="79" customWidth="1"/>
    <col min="15093" max="15093" width="0" style="79" hidden="1" customWidth="1"/>
    <col min="15094" max="15095" width="19.140625" style="79" customWidth="1"/>
    <col min="15096" max="15096" width="20.42578125" style="79" customWidth="1"/>
    <col min="15097" max="15097" width="20.85546875" style="79" customWidth="1"/>
    <col min="15098" max="15099" width="22" style="79" customWidth="1"/>
    <col min="15100" max="15100" width="0" style="79" hidden="1" customWidth="1"/>
    <col min="15101" max="15101" width="27.28515625" style="79" customWidth="1"/>
    <col min="15102" max="15102" width="18.140625" style="79" bestFit="1" customWidth="1"/>
    <col min="15103" max="15103" width="11.42578125" style="79" bestFit="1" customWidth="1"/>
    <col min="15104" max="15104" width="11.5703125" style="79" bestFit="1" customWidth="1"/>
    <col min="15105" max="15340" width="9.140625" style="79"/>
    <col min="15341" max="15341" width="0" style="79" hidden="1" customWidth="1"/>
    <col min="15342" max="15342" width="21.7109375" style="79" customWidth="1"/>
    <col min="15343" max="15343" width="48.140625" style="79" customWidth="1"/>
    <col min="15344" max="15344" width="29.7109375" style="79" customWidth="1"/>
    <col min="15345" max="15345" width="11.42578125" style="79" customWidth="1"/>
    <col min="15346" max="15346" width="7.5703125" style="79" customWidth="1"/>
    <col min="15347" max="15347" width="11.7109375" style="79" customWidth="1"/>
    <col min="15348" max="15348" width="7.140625" style="79" customWidth="1"/>
    <col min="15349" max="15349" width="0" style="79" hidden="1" customWidth="1"/>
    <col min="15350" max="15351" width="19.140625" style="79" customWidth="1"/>
    <col min="15352" max="15352" width="20.42578125" style="79" customWidth="1"/>
    <col min="15353" max="15353" width="20.85546875" style="79" customWidth="1"/>
    <col min="15354" max="15355" width="22" style="79" customWidth="1"/>
    <col min="15356" max="15356" width="0" style="79" hidden="1" customWidth="1"/>
    <col min="15357" max="15357" width="27.28515625" style="79" customWidth="1"/>
    <col min="15358" max="15358" width="18.140625" style="79" bestFit="1" customWidth="1"/>
    <col min="15359" max="15359" width="11.42578125" style="79" bestFit="1" customWidth="1"/>
    <col min="15360" max="15360" width="11.5703125" style="79" bestFit="1" customWidth="1"/>
    <col min="15361" max="15596" width="9.140625" style="79"/>
    <col min="15597" max="15597" width="0" style="79" hidden="1" customWidth="1"/>
    <col min="15598" max="15598" width="21.7109375" style="79" customWidth="1"/>
    <col min="15599" max="15599" width="48.140625" style="79" customWidth="1"/>
    <col min="15600" max="15600" width="29.7109375" style="79" customWidth="1"/>
    <col min="15601" max="15601" width="11.42578125" style="79" customWidth="1"/>
    <col min="15602" max="15602" width="7.5703125" style="79" customWidth="1"/>
    <col min="15603" max="15603" width="11.7109375" style="79" customWidth="1"/>
    <col min="15604" max="15604" width="7.140625" style="79" customWidth="1"/>
    <col min="15605" max="15605" width="0" style="79" hidden="1" customWidth="1"/>
    <col min="15606" max="15607" width="19.140625" style="79" customWidth="1"/>
    <col min="15608" max="15608" width="20.42578125" style="79" customWidth="1"/>
    <col min="15609" max="15609" width="20.85546875" style="79" customWidth="1"/>
    <col min="15610" max="15611" width="22" style="79" customWidth="1"/>
    <col min="15612" max="15612" width="0" style="79" hidden="1" customWidth="1"/>
    <col min="15613" max="15613" width="27.28515625" style="79" customWidth="1"/>
    <col min="15614" max="15614" width="18.140625" style="79" bestFit="1" customWidth="1"/>
    <col min="15615" max="15615" width="11.42578125" style="79" bestFit="1" customWidth="1"/>
    <col min="15616" max="15616" width="11.5703125" style="79" bestFit="1" customWidth="1"/>
    <col min="15617" max="15852" width="9.140625" style="79"/>
    <col min="15853" max="15853" width="0" style="79" hidden="1" customWidth="1"/>
    <col min="15854" max="15854" width="21.7109375" style="79" customWidth="1"/>
    <col min="15855" max="15855" width="48.140625" style="79" customWidth="1"/>
    <col min="15856" max="15856" width="29.7109375" style="79" customWidth="1"/>
    <col min="15857" max="15857" width="11.42578125" style="79" customWidth="1"/>
    <col min="15858" max="15858" width="7.5703125" style="79" customWidth="1"/>
    <col min="15859" max="15859" width="11.7109375" style="79" customWidth="1"/>
    <col min="15860" max="15860" width="7.140625" style="79" customWidth="1"/>
    <col min="15861" max="15861" width="0" style="79" hidden="1" customWidth="1"/>
    <col min="15862" max="15863" width="19.140625" style="79" customWidth="1"/>
    <col min="15864" max="15864" width="20.42578125" style="79" customWidth="1"/>
    <col min="15865" max="15865" width="20.85546875" style="79" customWidth="1"/>
    <col min="15866" max="15867" width="22" style="79" customWidth="1"/>
    <col min="15868" max="15868" width="0" style="79" hidden="1" customWidth="1"/>
    <col min="15869" max="15869" width="27.28515625" style="79" customWidth="1"/>
    <col min="15870" max="15870" width="18.140625" style="79" bestFit="1" customWidth="1"/>
    <col min="15871" max="15871" width="11.42578125" style="79" bestFit="1" customWidth="1"/>
    <col min="15872" max="15872" width="11.5703125" style="79" bestFit="1" customWidth="1"/>
    <col min="15873" max="16108" width="9.140625" style="79"/>
    <col min="16109" max="16109" width="0" style="79" hidden="1" customWidth="1"/>
    <col min="16110" max="16110" width="21.7109375" style="79" customWidth="1"/>
    <col min="16111" max="16111" width="48.140625" style="79" customWidth="1"/>
    <col min="16112" max="16112" width="29.7109375" style="79" customWidth="1"/>
    <col min="16113" max="16113" width="11.42578125" style="79" customWidth="1"/>
    <col min="16114" max="16114" width="7.5703125" style="79" customWidth="1"/>
    <col min="16115" max="16115" width="11.7109375" style="79" customWidth="1"/>
    <col min="16116" max="16116" width="7.140625" style="79" customWidth="1"/>
    <col min="16117" max="16117" width="0" style="79" hidden="1" customWidth="1"/>
    <col min="16118" max="16119" width="19.140625" style="79" customWidth="1"/>
    <col min="16120" max="16120" width="20.42578125" style="79" customWidth="1"/>
    <col min="16121" max="16121" width="20.85546875" style="79" customWidth="1"/>
    <col min="16122" max="16123" width="22" style="79" customWidth="1"/>
    <col min="16124" max="16124" width="0" style="79" hidden="1" customWidth="1"/>
    <col min="16125" max="16125" width="27.28515625" style="79" customWidth="1"/>
    <col min="16126" max="16126" width="18.140625" style="79" bestFit="1" customWidth="1"/>
    <col min="16127" max="16127" width="11.42578125" style="79" bestFit="1" customWidth="1"/>
    <col min="16128" max="16128" width="11.5703125" style="79" bestFit="1" customWidth="1"/>
    <col min="16129" max="16384" width="9.140625" style="79"/>
  </cols>
  <sheetData>
    <row r="1" spans="1:12" s="80" customFormat="1" ht="12.75" customHeight="1" x14ac:dyDescent="0.45">
      <c r="A1" s="113"/>
      <c r="B1" s="113"/>
      <c r="C1" s="114"/>
      <c r="D1" s="114"/>
      <c r="E1" s="115"/>
      <c r="F1" s="115"/>
      <c r="G1" s="115"/>
      <c r="H1" s="259" t="s">
        <v>271</v>
      </c>
      <c r="I1" s="260"/>
      <c r="J1" s="260"/>
    </row>
    <row r="2" spans="1:12" s="80" customFormat="1" ht="12.75" customHeight="1" x14ac:dyDescent="0.45">
      <c r="A2" s="113"/>
      <c r="B2" s="113"/>
      <c r="C2" s="114"/>
      <c r="D2" s="114"/>
      <c r="E2" s="115"/>
      <c r="F2" s="115"/>
      <c r="G2" s="115"/>
      <c r="H2" s="260"/>
      <c r="I2" s="260"/>
      <c r="J2" s="260"/>
    </row>
    <row r="3" spans="1:12" s="80" customFormat="1" ht="112.5" customHeight="1" x14ac:dyDescent="0.45">
      <c r="A3" s="113"/>
      <c r="B3" s="113"/>
      <c r="C3" s="114"/>
      <c r="D3" s="114"/>
      <c r="E3" s="115"/>
      <c r="F3" s="115"/>
      <c r="G3" s="115"/>
      <c r="H3" s="260"/>
      <c r="I3" s="260"/>
      <c r="J3" s="260"/>
    </row>
    <row r="4" spans="1:12" s="113" customFormat="1" ht="60.75" customHeight="1" x14ac:dyDescent="0.45">
      <c r="A4" s="257" t="s">
        <v>270</v>
      </c>
      <c r="B4" s="257"/>
      <c r="C4" s="257"/>
      <c r="D4" s="257"/>
      <c r="E4" s="257"/>
      <c r="F4" s="257"/>
      <c r="G4" s="257"/>
      <c r="H4" s="257"/>
      <c r="I4" s="257"/>
      <c r="J4" s="257"/>
    </row>
    <row r="5" spans="1:12" s="116" customFormat="1" ht="44.25" customHeight="1" x14ac:dyDescent="0.35">
      <c r="A5" s="252" t="s">
        <v>5</v>
      </c>
      <c r="B5" s="249" t="s">
        <v>17</v>
      </c>
      <c r="C5" s="249" t="s">
        <v>18</v>
      </c>
      <c r="D5" s="253" t="s">
        <v>309</v>
      </c>
      <c r="E5" s="254"/>
      <c r="F5" s="254"/>
      <c r="G5" s="254"/>
      <c r="H5" s="254"/>
      <c r="I5" s="254"/>
      <c r="J5" s="254"/>
    </row>
    <row r="6" spans="1:12" s="116" customFormat="1" ht="54.75" customHeight="1" x14ac:dyDescent="0.35">
      <c r="A6" s="252"/>
      <c r="B6" s="249"/>
      <c r="C6" s="249"/>
      <c r="D6" s="161" t="s">
        <v>42</v>
      </c>
      <c r="E6" s="164">
        <v>2025</v>
      </c>
      <c r="F6" s="164">
        <v>2026</v>
      </c>
      <c r="G6" s="164">
        <v>2027</v>
      </c>
      <c r="H6" s="164">
        <v>2028</v>
      </c>
      <c r="I6" s="164">
        <v>2029</v>
      </c>
      <c r="J6" s="164">
        <v>2030</v>
      </c>
    </row>
    <row r="7" spans="1:12" s="116" customFormat="1" ht="21" x14ac:dyDescent="0.35">
      <c r="A7" s="250" t="s">
        <v>20</v>
      </c>
      <c r="B7" s="250" t="s">
        <v>176</v>
      </c>
      <c r="C7" s="117" t="s">
        <v>0</v>
      </c>
      <c r="D7" s="172">
        <f>D9+D10+D11+D12+D13+D14+D15+D16+D17+D18</f>
        <v>1295641.3299999998</v>
      </c>
      <c r="E7" s="162">
        <f>E9+E10+E11+E12+E13+E14+E15+E16+E17+E18</f>
        <v>225233</v>
      </c>
      <c r="F7" s="162">
        <f t="shared" ref="F7:J7" si="0">F9+F10+F11+F12+F13+F14+F15+F16+F17+F18</f>
        <v>197626.38000000003</v>
      </c>
      <c r="G7" s="162">
        <f t="shared" si="0"/>
        <v>205531.44</v>
      </c>
      <c r="H7" s="162">
        <f>SUM(H9:H18)</f>
        <v>213752.70999999996</v>
      </c>
      <c r="I7" s="162">
        <f>SUM(I9:I18)</f>
        <v>222302.84</v>
      </c>
      <c r="J7" s="162">
        <f t="shared" si="0"/>
        <v>231194.96000000002</v>
      </c>
      <c r="K7" s="118">
        <f>E7+F7+G7+H7+I7+J7</f>
        <v>1295641.33</v>
      </c>
      <c r="L7" s="118" t="e">
        <f>195626-#REF!</f>
        <v>#REF!</v>
      </c>
    </row>
    <row r="8" spans="1:12" s="116" customFormat="1" ht="21" x14ac:dyDescent="0.35">
      <c r="A8" s="250"/>
      <c r="B8" s="250"/>
      <c r="C8" s="117" t="s">
        <v>177</v>
      </c>
      <c r="D8" s="162"/>
      <c r="E8" s="162"/>
      <c r="F8" s="162"/>
      <c r="G8" s="162"/>
      <c r="H8" s="162"/>
      <c r="I8" s="162"/>
      <c r="J8" s="162"/>
    </row>
    <row r="9" spans="1:12" s="116" customFormat="1" ht="21" x14ac:dyDescent="0.35">
      <c r="A9" s="250"/>
      <c r="B9" s="250"/>
      <c r="C9" s="119" t="s">
        <v>166</v>
      </c>
      <c r="D9" s="162">
        <f>E9+F9+G9+H9+I9+J9</f>
        <v>1129514.95</v>
      </c>
      <c r="E9" s="166">
        <f>E21+E33+E49</f>
        <v>197011</v>
      </c>
      <c r="F9" s="162">
        <f t="shared" ref="F9:J9" si="1">F21+F33+F49</f>
        <v>172165.51</v>
      </c>
      <c r="G9" s="162">
        <f t="shared" si="1"/>
        <v>179052.13</v>
      </c>
      <c r="H9" s="162">
        <f t="shared" si="1"/>
        <v>186214.21999999997</v>
      </c>
      <c r="I9" s="162">
        <f t="shared" si="1"/>
        <v>193662.78999999998</v>
      </c>
      <c r="J9" s="162">
        <f t="shared" si="1"/>
        <v>201409.3</v>
      </c>
      <c r="K9" s="118" t="e">
        <f>144530.5-#REF!</f>
        <v>#REF!</v>
      </c>
    </row>
    <row r="10" spans="1:12" s="116" customFormat="1" ht="21" x14ac:dyDescent="0.35">
      <c r="A10" s="250"/>
      <c r="B10" s="250"/>
      <c r="C10" s="119" t="s">
        <v>140</v>
      </c>
      <c r="D10" s="162">
        <f t="shared" ref="D10:D18" si="2">E10+F10+G10+H10+I10+J10</f>
        <v>27076.53</v>
      </c>
      <c r="E10" s="166">
        <f t="shared" ref="E10:J14" si="3">E22+E35+E43</f>
        <v>3948</v>
      </c>
      <c r="F10" s="162">
        <f t="shared" ref="F10:J12" si="4">F22+F35</f>
        <v>4270.16</v>
      </c>
      <c r="G10" s="162">
        <f>G22+G35+G53+G43</f>
        <v>4440.96</v>
      </c>
      <c r="H10" s="162">
        <f t="shared" si="4"/>
        <v>4618.59</v>
      </c>
      <c r="I10" s="162">
        <f>I22+I35+I43</f>
        <v>4803.34</v>
      </c>
      <c r="J10" s="162">
        <f t="shared" si="4"/>
        <v>4995.4799999999996</v>
      </c>
    </row>
    <row r="11" spans="1:12" s="116" customFormat="1" ht="21" x14ac:dyDescent="0.35">
      <c r="A11" s="250"/>
      <c r="B11" s="250"/>
      <c r="C11" s="119" t="s">
        <v>141</v>
      </c>
      <c r="D11" s="162">
        <f t="shared" si="2"/>
        <v>37960.720000000001</v>
      </c>
      <c r="E11" s="166">
        <f t="shared" si="3"/>
        <v>5535</v>
      </c>
      <c r="F11" s="162">
        <f t="shared" si="4"/>
        <v>5986.66</v>
      </c>
      <c r="G11" s="162">
        <f>G23+G36+G54</f>
        <v>6226.13</v>
      </c>
      <c r="H11" s="162">
        <f t="shared" si="4"/>
        <v>6475.18</v>
      </c>
      <c r="I11" s="162">
        <f t="shared" si="4"/>
        <v>6734.19</v>
      </c>
      <c r="J11" s="162">
        <f t="shared" si="4"/>
        <v>7003.5599999999995</v>
      </c>
    </row>
    <row r="12" spans="1:12" s="116" customFormat="1" ht="21" x14ac:dyDescent="0.35">
      <c r="A12" s="250"/>
      <c r="B12" s="250"/>
      <c r="C12" s="119" t="s">
        <v>142</v>
      </c>
      <c r="D12" s="162">
        <f t="shared" si="2"/>
        <v>22076.879999999997</v>
      </c>
      <c r="E12" s="166">
        <f t="shared" si="3"/>
        <v>3219</v>
      </c>
      <c r="F12" s="162">
        <f t="shared" si="4"/>
        <v>3481.67</v>
      </c>
      <c r="G12" s="162">
        <f>G24+G37+G55</f>
        <v>3620.94</v>
      </c>
      <c r="H12" s="162">
        <f t="shared" si="4"/>
        <v>3765.7799999999997</v>
      </c>
      <c r="I12" s="162">
        <f>I24+I37+I45</f>
        <v>3916.42</v>
      </c>
      <c r="J12" s="162">
        <f t="shared" si="4"/>
        <v>4073.0699999999997</v>
      </c>
    </row>
    <row r="13" spans="1:12" s="116" customFormat="1" ht="21" x14ac:dyDescent="0.35">
      <c r="A13" s="250"/>
      <c r="B13" s="250"/>
      <c r="C13" s="119" t="s">
        <v>143</v>
      </c>
      <c r="D13" s="162">
        <f t="shared" si="2"/>
        <v>18753.650000000001</v>
      </c>
      <c r="E13" s="166">
        <f t="shared" si="3"/>
        <v>3071</v>
      </c>
      <c r="F13" s="166">
        <f t="shared" si="3"/>
        <v>2895.44</v>
      </c>
      <c r="G13" s="166">
        <f t="shared" si="3"/>
        <v>3011.26</v>
      </c>
      <c r="H13" s="166">
        <f t="shared" si="3"/>
        <v>3131.71</v>
      </c>
      <c r="I13" s="166">
        <f t="shared" si="3"/>
        <v>3256.98</v>
      </c>
      <c r="J13" s="166">
        <f t="shared" si="3"/>
        <v>3387.26</v>
      </c>
    </row>
    <row r="14" spans="1:12" s="116" customFormat="1" ht="21" x14ac:dyDescent="0.35">
      <c r="A14" s="250"/>
      <c r="B14" s="250"/>
      <c r="C14" s="119" t="s">
        <v>144</v>
      </c>
      <c r="D14" s="162">
        <f t="shared" si="2"/>
        <v>28599.08</v>
      </c>
      <c r="E14" s="166">
        <f t="shared" si="3"/>
        <v>4170</v>
      </c>
      <c r="F14" s="166">
        <f t="shared" si="3"/>
        <v>4510.2700000000004</v>
      </c>
      <c r="G14" s="166">
        <f t="shared" si="3"/>
        <v>4690.68</v>
      </c>
      <c r="H14" s="166">
        <f t="shared" si="3"/>
        <v>4878.3100000000004</v>
      </c>
      <c r="I14" s="166">
        <f t="shared" si="3"/>
        <v>5073.4399999999996</v>
      </c>
      <c r="J14" s="166">
        <f t="shared" si="3"/>
        <v>5276.38</v>
      </c>
    </row>
    <row r="15" spans="1:12" s="120" customFormat="1" ht="21" x14ac:dyDescent="0.35">
      <c r="A15" s="250"/>
      <c r="B15" s="250"/>
      <c r="C15" s="119" t="s">
        <v>145</v>
      </c>
      <c r="D15" s="162">
        <f t="shared" si="2"/>
        <v>31659.52</v>
      </c>
      <c r="E15" s="162">
        <f>E27+E40+E48</f>
        <v>8279</v>
      </c>
      <c r="F15" s="166">
        <f t="shared" ref="F15:J15" si="5">F27+F40+F48</f>
        <v>4316.67</v>
      </c>
      <c r="G15" s="166">
        <f t="shared" si="5"/>
        <v>4489.34</v>
      </c>
      <c r="H15" s="166">
        <f t="shared" si="5"/>
        <v>4668.92</v>
      </c>
      <c r="I15" s="166">
        <f t="shared" si="5"/>
        <v>4855.68</v>
      </c>
      <c r="J15" s="166">
        <f t="shared" si="5"/>
        <v>5049.91</v>
      </c>
    </row>
    <row r="16" spans="1:12" s="120" customFormat="1" ht="21" hidden="1" x14ac:dyDescent="0.35">
      <c r="A16" s="250"/>
      <c r="B16" s="250"/>
      <c r="C16" s="119" t="s">
        <v>169</v>
      </c>
      <c r="D16" s="162">
        <f t="shared" si="2"/>
        <v>0</v>
      </c>
      <c r="E16" s="162">
        <v>0</v>
      </c>
      <c r="F16" s="162">
        <f>F28+F52</f>
        <v>0</v>
      </c>
      <c r="G16" s="162">
        <f>G28</f>
        <v>0</v>
      </c>
      <c r="H16" s="162">
        <f>H28</f>
        <v>0</v>
      </c>
      <c r="I16" s="162">
        <f>I28</f>
        <v>0</v>
      </c>
      <c r="J16" s="162">
        <v>0</v>
      </c>
    </row>
    <row r="17" spans="1:12" s="120" customFormat="1" ht="21" hidden="1" x14ac:dyDescent="0.35">
      <c r="A17" s="250"/>
      <c r="B17" s="250"/>
      <c r="C17" s="119" t="s">
        <v>227</v>
      </c>
      <c r="D17" s="162">
        <f t="shared" si="2"/>
        <v>0</v>
      </c>
      <c r="E17" s="162">
        <v>0</v>
      </c>
      <c r="F17" s="162">
        <f>F29</f>
        <v>0</v>
      </c>
      <c r="G17" s="162">
        <f>G29</f>
        <v>0</v>
      </c>
      <c r="H17" s="162">
        <f>H29</f>
        <v>0</v>
      </c>
      <c r="I17" s="162">
        <f t="shared" ref="I17:J17" si="6">I29</f>
        <v>0</v>
      </c>
      <c r="J17" s="162">
        <f t="shared" si="6"/>
        <v>0</v>
      </c>
    </row>
    <row r="18" spans="1:12" s="120" customFormat="1" ht="40.5" hidden="1" x14ac:dyDescent="0.35">
      <c r="A18" s="250"/>
      <c r="B18" s="250"/>
      <c r="C18" s="119" t="s">
        <v>167</v>
      </c>
      <c r="D18" s="162">
        <f t="shared" si="2"/>
        <v>0</v>
      </c>
      <c r="E18" s="162">
        <v>0</v>
      </c>
      <c r="F18" s="162">
        <v>0</v>
      </c>
      <c r="G18" s="162">
        <v>0</v>
      </c>
      <c r="H18" s="162">
        <v>0</v>
      </c>
      <c r="I18" s="162">
        <v>0</v>
      </c>
      <c r="J18" s="162">
        <v>0</v>
      </c>
    </row>
    <row r="19" spans="1:12" s="116" customFormat="1" ht="21" x14ac:dyDescent="0.35">
      <c r="A19" s="250" t="s">
        <v>10</v>
      </c>
      <c r="B19" s="250" t="s">
        <v>146</v>
      </c>
      <c r="C19" s="121" t="s">
        <v>0</v>
      </c>
      <c r="D19" s="76">
        <f>D21+D22+D23+D24+D25+D26+D27+D28+D29+D30</f>
        <v>1144776.6299999999</v>
      </c>
      <c r="E19" s="76">
        <f>E21+E22+E23+E24+E25+E26+E27+E28+E29+E30</f>
        <v>201798</v>
      </c>
      <c r="F19" s="76">
        <f t="shared" ref="F19:J19" si="7">F21+F22+F23+F24+F25+F26+F27+F28+F29+F30</f>
        <v>174099.41999999998</v>
      </c>
      <c r="G19" s="76">
        <f t="shared" si="7"/>
        <v>181063.38999999998</v>
      </c>
      <c r="H19" s="76">
        <f t="shared" si="7"/>
        <v>188305.93000000002</v>
      </c>
      <c r="I19" s="76">
        <f t="shared" si="7"/>
        <v>195838.18</v>
      </c>
      <c r="J19" s="76">
        <f t="shared" si="7"/>
        <v>203671.71</v>
      </c>
    </row>
    <row r="20" spans="1:12" s="116" customFormat="1" ht="21" x14ac:dyDescent="0.35">
      <c r="A20" s="251"/>
      <c r="B20" s="250"/>
      <c r="C20" s="117" t="s">
        <v>177</v>
      </c>
      <c r="D20" s="162"/>
      <c r="E20" s="162"/>
      <c r="F20" s="162"/>
      <c r="G20" s="162"/>
      <c r="H20" s="162"/>
      <c r="I20" s="162"/>
      <c r="J20" s="162"/>
    </row>
    <row r="21" spans="1:12" s="116" customFormat="1" ht="21" x14ac:dyDescent="0.35">
      <c r="A21" s="251"/>
      <c r="B21" s="250"/>
      <c r="C21" s="119" t="s">
        <v>166</v>
      </c>
      <c r="D21" s="162">
        <f>E21+F21+G21+H21+I21+J21</f>
        <v>1000562.25</v>
      </c>
      <c r="E21" s="166">
        <f>100+23998+69180+29600+53547</f>
        <v>176425</v>
      </c>
      <c r="F21" s="166">
        <v>152158.07999999999</v>
      </c>
      <c r="G21" s="166">
        <v>158244.4</v>
      </c>
      <c r="H21" s="166">
        <v>164574.18</v>
      </c>
      <c r="I21" s="166">
        <v>171157.15</v>
      </c>
      <c r="J21" s="166">
        <v>178003.44</v>
      </c>
      <c r="K21" s="118"/>
      <c r="L21" s="118" t="e">
        <f>#REF!+#REF!+#REF!+#REF!+#REF!+#REF!</f>
        <v>#REF!</v>
      </c>
    </row>
    <row r="22" spans="1:12" s="116" customFormat="1" ht="21" x14ac:dyDescent="0.35">
      <c r="A22" s="251"/>
      <c r="B22" s="250"/>
      <c r="C22" s="119" t="s">
        <v>140</v>
      </c>
      <c r="D22" s="162">
        <f t="shared" ref="D22:D30" si="8">E22+F22+G22+H22+I22+J22</f>
        <v>19183.740000000002</v>
      </c>
      <c r="E22" s="166">
        <v>2968</v>
      </c>
      <c r="F22" s="166">
        <v>2993.87</v>
      </c>
      <c r="G22" s="166">
        <v>3113.62</v>
      </c>
      <c r="H22" s="166">
        <v>3238.16</v>
      </c>
      <c r="I22" s="166">
        <v>3367.69</v>
      </c>
      <c r="J22" s="166">
        <v>3502.4</v>
      </c>
    </row>
    <row r="23" spans="1:12" s="116" customFormat="1" ht="21" x14ac:dyDescent="0.35">
      <c r="A23" s="251"/>
      <c r="B23" s="250"/>
      <c r="C23" s="119" t="s">
        <v>141</v>
      </c>
      <c r="D23" s="162">
        <f t="shared" si="8"/>
        <v>33927.26</v>
      </c>
      <c r="E23" s="166">
        <v>5122</v>
      </c>
      <c r="F23" s="166">
        <v>5318.23</v>
      </c>
      <c r="G23" s="166">
        <v>5530.96</v>
      </c>
      <c r="H23" s="166">
        <v>5752.2</v>
      </c>
      <c r="I23" s="166">
        <v>5982.29</v>
      </c>
      <c r="J23" s="166">
        <v>6221.58</v>
      </c>
    </row>
    <row r="24" spans="1:12" s="116" customFormat="1" ht="21" x14ac:dyDescent="0.35">
      <c r="A24" s="251"/>
      <c r="B24" s="250"/>
      <c r="C24" s="119" t="s">
        <v>142</v>
      </c>
      <c r="D24" s="162">
        <f t="shared" si="8"/>
        <v>17317.189999999999</v>
      </c>
      <c r="E24" s="166">
        <v>2525</v>
      </c>
      <c r="F24" s="166">
        <v>2731.04</v>
      </c>
      <c r="G24" s="166">
        <v>2840.28</v>
      </c>
      <c r="H24" s="166">
        <v>2953.89</v>
      </c>
      <c r="I24" s="166">
        <v>3072.05</v>
      </c>
      <c r="J24" s="166">
        <v>3194.93</v>
      </c>
    </row>
    <row r="25" spans="1:12" s="116" customFormat="1" ht="21" x14ac:dyDescent="0.35">
      <c r="A25" s="251"/>
      <c r="B25" s="250"/>
      <c r="C25" s="119" t="s">
        <v>143</v>
      </c>
      <c r="D25" s="162">
        <f t="shared" si="8"/>
        <v>18753.650000000001</v>
      </c>
      <c r="E25" s="166">
        <v>3071</v>
      </c>
      <c r="F25" s="166">
        <v>2895.44</v>
      </c>
      <c r="G25" s="166">
        <v>3011.26</v>
      </c>
      <c r="H25" s="166">
        <v>3131.71</v>
      </c>
      <c r="I25" s="166">
        <v>3256.98</v>
      </c>
      <c r="J25" s="166">
        <v>3387.26</v>
      </c>
    </row>
    <row r="26" spans="1:12" s="116" customFormat="1" ht="21" x14ac:dyDescent="0.35">
      <c r="A26" s="251"/>
      <c r="B26" s="250"/>
      <c r="C26" s="119" t="s">
        <v>144</v>
      </c>
      <c r="D26" s="162">
        <f t="shared" si="8"/>
        <v>28599.08</v>
      </c>
      <c r="E26" s="166">
        <v>4170</v>
      </c>
      <c r="F26" s="166">
        <v>4510.2700000000004</v>
      </c>
      <c r="G26" s="166">
        <v>4690.68</v>
      </c>
      <c r="H26" s="166">
        <v>4878.3100000000004</v>
      </c>
      <c r="I26" s="166">
        <v>5073.4399999999996</v>
      </c>
      <c r="J26" s="166">
        <v>5276.38</v>
      </c>
    </row>
    <row r="27" spans="1:12" s="116" customFormat="1" ht="21" x14ac:dyDescent="0.35">
      <c r="A27" s="251"/>
      <c r="B27" s="250"/>
      <c r="C27" s="119" t="s">
        <v>145</v>
      </c>
      <c r="D27" s="162">
        <f t="shared" si="8"/>
        <v>26433.46</v>
      </c>
      <c r="E27" s="162">
        <v>7517</v>
      </c>
      <c r="F27" s="162">
        <v>3492.49</v>
      </c>
      <c r="G27" s="166">
        <v>3632.19</v>
      </c>
      <c r="H27" s="166">
        <v>3777.48</v>
      </c>
      <c r="I27" s="166">
        <v>3928.58</v>
      </c>
      <c r="J27" s="166">
        <v>4085.72</v>
      </c>
    </row>
    <row r="28" spans="1:12" s="116" customFormat="1" ht="21" hidden="1" x14ac:dyDescent="0.35">
      <c r="A28" s="251"/>
      <c r="B28" s="250"/>
      <c r="C28" s="119" t="s">
        <v>168</v>
      </c>
      <c r="D28" s="162">
        <f t="shared" si="8"/>
        <v>0</v>
      </c>
      <c r="E28" s="162">
        <v>0</v>
      </c>
      <c r="F28" s="162">
        <v>0</v>
      </c>
      <c r="G28" s="162">
        <v>0</v>
      </c>
      <c r="H28" s="162">
        <v>0</v>
      </c>
      <c r="I28" s="162">
        <v>0</v>
      </c>
      <c r="J28" s="162">
        <v>0</v>
      </c>
    </row>
    <row r="29" spans="1:12" s="116" customFormat="1" ht="21" hidden="1" x14ac:dyDescent="0.35">
      <c r="A29" s="251"/>
      <c r="B29" s="250"/>
      <c r="C29" s="119" t="s">
        <v>227</v>
      </c>
      <c r="D29" s="162">
        <f t="shared" si="8"/>
        <v>0</v>
      </c>
      <c r="E29" s="162">
        <v>0</v>
      </c>
      <c r="F29" s="162">
        <v>0</v>
      </c>
      <c r="G29" s="162">
        <v>0</v>
      </c>
      <c r="H29" s="162">
        <v>0</v>
      </c>
      <c r="I29" s="77">
        <v>0</v>
      </c>
      <c r="J29" s="77">
        <v>0</v>
      </c>
    </row>
    <row r="30" spans="1:12" s="116" customFormat="1" ht="45.75" customHeight="1" x14ac:dyDescent="0.35">
      <c r="A30" s="251"/>
      <c r="B30" s="250"/>
      <c r="C30" s="119" t="s">
        <v>167</v>
      </c>
      <c r="D30" s="162">
        <f t="shared" si="8"/>
        <v>0</v>
      </c>
      <c r="E30" s="162">
        <v>0</v>
      </c>
      <c r="F30" s="162">
        <v>0</v>
      </c>
      <c r="G30" s="162">
        <v>0</v>
      </c>
      <c r="H30" s="162">
        <v>0</v>
      </c>
      <c r="I30" s="162">
        <v>0</v>
      </c>
      <c r="J30" s="162">
        <v>0</v>
      </c>
    </row>
    <row r="31" spans="1:12" s="116" customFormat="1" ht="21" x14ac:dyDescent="0.35">
      <c r="A31" s="250" t="s">
        <v>12</v>
      </c>
      <c r="B31" s="250" t="s">
        <v>148</v>
      </c>
      <c r="C31" s="117" t="s">
        <v>0</v>
      </c>
      <c r="D31" s="179">
        <f>D33+D35+D36+D37+D38+D39+D40+D34</f>
        <v>23520.649999999998</v>
      </c>
      <c r="E31" s="162">
        <f>E33+E35+E36+E37+E38+E39+E40</f>
        <v>3122</v>
      </c>
      <c r="F31" s="162">
        <f t="shared" ref="F31:J31" si="9">F33+F35+F36+F37+F38+F39+F40</f>
        <v>3766.13</v>
      </c>
      <c r="G31" s="162">
        <f t="shared" si="9"/>
        <v>3916.7799999999997</v>
      </c>
      <c r="H31" s="162">
        <f t="shared" si="9"/>
        <v>4073.46</v>
      </c>
      <c r="I31" s="162">
        <f t="shared" si="9"/>
        <v>4236.41</v>
      </c>
      <c r="J31" s="162">
        <f t="shared" si="9"/>
        <v>4405.87</v>
      </c>
    </row>
    <row r="32" spans="1:12" s="116" customFormat="1" ht="21" x14ac:dyDescent="0.35">
      <c r="A32" s="250"/>
      <c r="B32" s="250"/>
      <c r="C32" s="117" t="s">
        <v>177</v>
      </c>
      <c r="D32" s="162"/>
      <c r="E32" s="162"/>
      <c r="F32" s="162"/>
      <c r="G32" s="162"/>
      <c r="H32" s="162"/>
      <c r="I32" s="162"/>
      <c r="J32" s="162"/>
    </row>
    <row r="33" spans="1:13" s="116" customFormat="1" ht="20.25" customHeight="1" x14ac:dyDescent="0.35">
      <c r="A33" s="250"/>
      <c r="B33" s="250"/>
      <c r="C33" s="119" t="s">
        <v>166</v>
      </c>
      <c r="D33" s="162">
        <f>E33+F33+G33+H33+I33+J33</f>
        <v>2294.5</v>
      </c>
      <c r="E33" s="165">
        <f>84+289</f>
        <v>373</v>
      </c>
      <c r="F33" s="165">
        <v>354.76</v>
      </c>
      <c r="G33" s="165">
        <v>368.95</v>
      </c>
      <c r="H33" s="165">
        <v>383.71</v>
      </c>
      <c r="I33" s="166">
        <v>399.06</v>
      </c>
      <c r="J33" s="165">
        <v>415.02</v>
      </c>
      <c r="K33" s="118"/>
    </row>
    <row r="34" spans="1:13" s="116" customFormat="1" ht="20.25" hidden="1" customHeight="1" x14ac:dyDescent="0.35">
      <c r="A34" s="250"/>
      <c r="B34" s="250"/>
      <c r="C34" s="119" t="s">
        <v>264</v>
      </c>
      <c r="D34" s="162">
        <v>0</v>
      </c>
      <c r="E34" s="165">
        <v>0</v>
      </c>
      <c r="F34" s="165">
        <f t="shared" ref="F34:I39" si="10">E34*1.04</f>
        <v>0</v>
      </c>
      <c r="G34" s="165">
        <f t="shared" si="10"/>
        <v>0</v>
      </c>
      <c r="H34" s="165">
        <f t="shared" si="10"/>
        <v>0</v>
      </c>
      <c r="I34" s="166">
        <f t="shared" si="10"/>
        <v>0</v>
      </c>
      <c r="J34" s="165">
        <f t="shared" ref="J34" si="11">I34*1.04</f>
        <v>0</v>
      </c>
      <c r="K34" s="118"/>
      <c r="L34" s="150" t="e">
        <f>#REF!+#REF!+#REF!+#REF!</f>
        <v>#REF!</v>
      </c>
    </row>
    <row r="35" spans="1:13" s="116" customFormat="1" ht="21" x14ac:dyDescent="0.35">
      <c r="A35" s="250"/>
      <c r="B35" s="250"/>
      <c r="C35" s="119" t="s">
        <v>140</v>
      </c>
      <c r="D35" s="162">
        <f t="shared" ref="D35:D40" si="12">E35+F35+G35+H35+I35+J35</f>
        <v>7892.7900000000009</v>
      </c>
      <c r="E35" s="165">
        <v>980</v>
      </c>
      <c r="F35" s="165">
        <v>1276.29</v>
      </c>
      <c r="G35" s="165">
        <v>1327.34</v>
      </c>
      <c r="H35" s="165">
        <v>1380.43</v>
      </c>
      <c r="I35" s="166">
        <v>1435.65</v>
      </c>
      <c r="J35" s="165">
        <v>1493.08</v>
      </c>
    </row>
    <row r="36" spans="1:13" s="116" customFormat="1" ht="21" x14ac:dyDescent="0.35">
      <c r="A36" s="250"/>
      <c r="B36" s="250"/>
      <c r="C36" s="119" t="s">
        <v>141</v>
      </c>
      <c r="D36" s="162">
        <f t="shared" si="12"/>
        <v>4033.46</v>
      </c>
      <c r="E36" s="165">
        <v>413</v>
      </c>
      <c r="F36" s="165">
        <v>668.43</v>
      </c>
      <c r="G36" s="165">
        <v>695.17</v>
      </c>
      <c r="H36" s="165">
        <v>722.98</v>
      </c>
      <c r="I36" s="166">
        <v>751.9</v>
      </c>
      <c r="J36" s="165">
        <v>781.98</v>
      </c>
      <c r="M36" s="118"/>
    </row>
    <row r="37" spans="1:13" s="116" customFormat="1" ht="21" x14ac:dyDescent="0.35">
      <c r="A37" s="250"/>
      <c r="B37" s="250"/>
      <c r="C37" s="119" t="s">
        <v>142</v>
      </c>
      <c r="D37" s="162">
        <f t="shared" si="12"/>
        <v>4759.6899999999996</v>
      </c>
      <c r="E37" s="165">
        <v>694</v>
      </c>
      <c r="F37" s="165">
        <v>750.63</v>
      </c>
      <c r="G37" s="165">
        <v>780.66</v>
      </c>
      <c r="H37" s="165">
        <v>811.89</v>
      </c>
      <c r="I37" s="166">
        <v>844.37</v>
      </c>
      <c r="J37" s="165">
        <v>878.14</v>
      </c>
    </row>
    <row r="38" spans="1:13" s="116" customFormat="1" ht="21" hidden="1" x14ac:dyDescent="0.35">
      <c r="A38" s="250"/>
      <c r="B38" s="250"/>
      <c r="C38" s="119" t="s">
        <v>143</v>
      </c>
      <c r="D38" s="162">
        <f t="shared" si="12"/>
        <v>0</v>
      </c>
      <c r="E38" s="165">
        <f>'3 бюджет'!O41*1.04</f>
        <v>0</v>
      </c>
      <c r="F38" s="165">
        <f t="shared" si="10"/>
        <v>0</v>
      </c>
      <c r="G38" s="165">
        <f t="shared" si="10"/>
        <v>0</v>
      </c>
      <c r="H38" s="165">
        <f t="shared" si="10"/>
        <v>0</v>
      </c>
      <c r="I38" s="166">
        <f t="shared" si="10"/>
        <v>0</v>
      </c>
      <c r="J38" s="165">
        <f t="shared" ref="J38" si="13">I38*1.04</f>
        <v>0</v>
      </c>
      <c r="L38" s="118"/>
    </row>
    <row r="39" spans="1:13" s="116" customFormat="1" ht="21" hidden="1" x14ac:dyDescent="0.35">
      <c r="A39" s="250"/>
      <c r="B39" s="250"/>
      <c r="C39" s="119" t="s">
        <v>144</v>
      </c>
      <c r="D39" s="162">
        <f t="shared" si="12"/>
        <v>0</v>
      </c>
      <c r="E39" s="165">
        <f>'3 бюджет'!O42*1.04</f>
        <v>0</v>
      </c>
      <c r="F39" s="165">
        <f t="shared" si="10"/>
        <v>0</v>
      </c>
      <c r="G39" s="165">
        <f t="shared" si="10"/>
        <v>0</v>
      </c>
      <c r="H39" s="165">
        <f t="shared" si="10"/>
        <v>0</v>
      </c>
      <c r="I39" s="166">
        <f t="shared" si="10"/>
        <v>0</v>
      </c>
      <c r="J39" s="165">
        <f t="shared" ref="J39" si="14">I39*1.04</f>
        <v>0</v>
      </c>
    </row>
    <row r="40" spans="1:13" s="116" customFormat="1" ht="21" x14ac:dyDescent="0.35">
      <c r="A40" s="250"/>
      <c r="B40" s="250"/>
      <c r="C40" s="119" t="s">
        <v>145</v>
      </c>
      <c r="D40" s="162">
        <f t="shared" si="12"/>
        <v>4540.21</v>
      </c>
      <c r="E40" s="162">
        <v>662</v>
      </c>
      <c r="F40" s="162">
        <v>716.02</v>
      </c>
      <c r="G40" s="165">
        <v>744.66</v>
      </c>
      <c r="H40" s="165">
        <v>774.45</v>
      </c>
      <c r="I40" s="165">
        <v>805.43</v>
      </c>
      <c r="J40" s="165">
        <v>837.65</v>
      </c>
    </row>
    <row r="41" spans="1:13" s="116" customFormat="1" ht="27" customHeight="1" x14ac:dyDescent="0.35">
      <c r="A41" s="261" t="s">
        <v>29</v>
      </c>
      <c r="B41" s="261" t="s">
        <v>87</v>
      </c>
      <c r="C41" s="117" t="s">
        <v>0</v>
      </c>
      <c r="D41" s="162">
        <f>SUM(E41:J41)</f>
        <v>127344.05000000002</v>
      </c>
      <c r="E41" s="162">
        <f>E48+E49</f>
        <v>20313</v>
      </c>
      <c r="F41" s="162">
        <f>SUM(F48:F49)</f>
        <v>19760.829999999998</v>
      </c>
      <c r="G41" s="162">
        <f>SUM(G43:G49)</f>
        <v>20551.27</v>
      </c>
      <c r="H41" s="162">
        <f>SUM(H43:H50)</f>
        <v>21373.320000000003</v>
      </c>
      <c r="I41" s="162">
        <f>SUM(I43:I49)</f>
        <v>22228.25</v>
      </c>
      <c r="J41" s="162">
        <f t="shared" ref="J41" si="15">SUM(J43:J50)</f>
        <v>23117.38</v>
      </c>
    </row>
    <row r="42" spans="1:13" s="116" customFormat="1" ht="26.25" customHeight="1" x14ac:dyDescent="0.35">
      <c r="A42" s="262"/>
      <c r="B42" s="262"/>
      <c r="C42" s="117" t="s">
        <v>177</v>
      </c>
      <c r="D42" s="162"/>
      <c r="E42" s="162"/>
      <c r="F42" s="162"/>
      <c r="G42" s="162"/>
      <c r="H42" s="162"/>
      <c r="I42" s="162"/>
      <c r="J42" s="162"/>
    </row>
    <row r="43" spans="1:13" s="116" customFormat="1" ht="21" hidden="1" x14ac:dyDescent="0.35">
      <c r="A43" s="262"/>
      <c r="B43" s="262"/>
      <c r="C43" s="117" t="s">
        <v>140</v>
      </c>
      <c r="D43" s="162">
        <f t="shared" ref="D43:D49" si="16">SUM(E43:J43)</f>
        <v>0</v>
      </c>
      <c r="E43" s="162">
        <v>0</v>
      </c>
      <c r="F43" s="162">
        <v>0</v>
      </c>
      <c r="G43" s="162">
        <v>0</v>
      </c>
      <c r="H43" s="162">
        <v>0</v>
      </c>
      <c r="I43" s="162">
        <v>0</v>
      </c>
      <c r="J43" s="162">
        <v>0</v>
      </c>
    </row>
    <row r="44" spans="1:13" s="116" customFormat="1" ht="21" hidden="1" x14ac:dyDescent="0.35">
      <c r="A44" s="262"/>
      <c r="B44" s="262"/>
      <c r="C44" s="117" t="s">
        <v>141</v>
      </c>
      <c r="D44" s="162">
        <f t="shared" si="16"/>
        <v>0</v>
      </c>
      <c r="E44" s="162">
        <v>0</v>
      </c>
      <c r="F44" s="162">
        <v>0</v>
      </c>
      <c r="G44" s="162">
        <v>0</v>
      </c>
      <c r="H44" s="162">
        <v>0</v>
      </c>
      <c r="I44" s="162">
        <v>0</v>
      </c>
      <c r="J44" s="162">
        <v>0</v>
      </c>
    </row>
    <row r="45" spans="1:13" s="116" customFormat="1" ht="21" hidden="1" x14ac:dyDescent="0.35">
      <c r="A45" s="262"/>
      <c r="B45" s="262"/>
      <c r="C45" s="119" t="s">
        <v>142</v>
      </c>
      <c r="D45" s="162">
        <f t="shared" si="16"/>
        <v>0</v>
      </c>
      <c r="E45" s="162">
        <v>0</v>
      </c>
      <c r="F45" s="162">
        <v>0</v>
      </c>
      <c r="G45" s="162">
        <v>0</v>
      </c>
      <c r="H45" s="162">
        <v>0</v>
      </c>
      <c r="I45" s="162">
        <v>0</v>
      </c>
      <c r="J45" s="162">
        <v>0</v>
      </c>
    </row>
    <row r="46" spans="1:13" s="116" customFormat="1" ht="21" hidden="1" x14ac:dyDescent="0.35">
      <c r="A46" s="262"/>
      <c r="B46" s="262"/>
      <c r="C46" s="119" t="s">
        <v>143</v>
      </c>
      <c r="D46" s="162">
        <f t="shared" si="16"/>
        <v>0</v>
      </c>
      <c r="E46" s="162"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</row>
    <row r="47" spans="1:13" s="116" customFormat="1" ht="21" hidden="1" x14ac:dyDescent="0.35">
      <c r="A47" s="262"/>
      <c r="B47" s="262"/>
      <c r="C47" s="119" t="s">
        <v>144</v>
      </c>
      <c r="D47" s="162">
        <f t="shared" si="16"/>
        <v>0</v>
      </c>
      <c r="E47" s="162">
        <v>0</v>
      </c>
      <c r="F47" s="162">
        <v>0</v>
      </c>
      <c r="G47" s="162">
        <v>0</v>
      </c>
      <c r="H47" s="162">
        <v>0</v>
      </c>
      <c r="I47" s="162">
        <v>0</v>
      </c>
      <c r="J47" s="162">
        <v>0</v>
      </c>
    </row>
    <row r="48" spans="1:13" s="116" customFormat="1" ht="18" customHeight="1" x14ac:dyDescent="0.35">
      <c r="A48" s="262"/>
      <c r="B48" s="262"/>
      <c r="C48" s="117" t="s">
        <v>145</v>
      </c>
      <c r="D48" s="162">
        <f t="shared" si="16"/>
        <v>685.84999999999991</v>
      </c>
      <c r="E48" s="165">
        <v>100</v>
      </c>
      <c r="F48" s="165">
        <v>108.16</v>
      </c>
      <c r="G48" s="165">
        <v>112.49</v>
      </c>
      <c r="H48" s="165">
        <v>116.99</v>
      </c>
      <c r="I48" s="165">
        <v>121.67</v>
      </c>
      <c r="J48" s="165">
        <v>126.54</v>
      </c>
    </row>
    <row r="49" spans="1:10" s="116" customFormat="1" ht="32.25" customHeight="1" x14ac:dyDescent="0.35">
      <c r="A49" s="263"/>
      <c r="B49" s="263"/>
      <c r="C49" s="119" t="s">
        <v>166</v>
      </c>
      <c r="D49" s="162">
        <f t="shared" si="16"/>
        <v>126658.2</v>
      </c>
      <c r="E49" s="162">
        <f>14806+2000+970+2437</f>
        <v>20213</v>
      </c>
      <c r="F49" s="162">
        <v>19652.669999999998</v>
      </c>
      <c r="G49" s="165">
        <v>20438.78</v>
      </c>
      <c r="H49" s="165">
        <v>21256.33</v>
      </c>
      <c r="I49" s="165">
        <v>22106.58</v>
      </c>
      <c r="J49" s="165">
        <v>22990.84</v>
      </c>
    </row>
    <row r="50" spans="1:10" s="116" customFormat="1" ht="21" hidden="1" x14ac:dyDescent="0.35">
      <c r="A50" s="250" t="s">
        <v>152</v>
      </c>
      <c r="B50" s="250" t="s">
        <v>153</v>
      </c>
      <c r="C50" s="117" t="s">
        <v>0</v>
      </c>
      <c r="D50" s="162">
        <f>D52+D53+D54+D55+D56+D57+D58</f>
        <v>0</v>
      </c>
      <c r="E50" s="162">
        <f>SUM(E52:E58)</f>
        <v>0</v>
      </c>
      <c r="F50" s="162">
        <f t="shared" ref="F50:J50" si="17">SUM(F52:F58)</f>
        <v>0</v>
      </c>
      <c r="G50" s="162">
        <f t="shared" si="17"/>
        <v>0</v>
      </c>
      <c r="H50" s="162">
        <f t="shared" si="17"/>
        <v>0</v>
      </c>
      <c r="I50" s="162">
        <f t="shared" si="17"/>
        <v>0</v>
      </c>
      <c r="J50" s="162">
        <f t="shared" si="17"/>
        <v>0</v>
      </c>
    </row>
    <row r="51" spans="1:10" s="116" customFormat="1" ht="21" hidden="1" x14ac:dyDescent="0.35">
      <c r="A51" s="250"/>
      <c r="B51" s="250"/>
      <c r="C51" s="117" t="s">
        <v>177</v>
      </c>
      <c r="D51" s="162"/>
      <c r="E51" s="162"/>
      <c r="F51" s="162"/>
      <c r="G51" s="162"/>
      <c r="H51" s="162"/>
      <c r="I51" s="162"/>
      <c r="J51" s="162"/>
    </row>
    <row r="52" spans="1:10" s="116" customFormat="1" ht="21" hidden="1" x14ac:dyDescent="0.35">
      <c r="A52" s="250"/>
      <c r="B52" s="250"/>
      <c r="C52" s="117" t="s">
        <v>168</v>
      </c>
      <c r="D52" s="162">
        <f>E52+F52+G52+H52+I52+J52</f>
        <v>0</v>
      </c>
      <c r="E52" s="162">
        <v>0</v>
      </c>
      <c r="F52" s="162">
        <v>0</v>
      </c>
      <c r="G52" s="162">
        <v>0</v>
      </c>
      <c r="H52" s="162">
        <v>0</v>
      </c>
      <c r="I52" s="162">
        <v>0</v>
      </c>
      <c r="J52" s="162">
        <v>0</v>
      </c>
    </row>
    <row r="53" spans="1:10" s="116" customFormat="1" ht="21" hidden="1" x14ac:dyDescent="0.35">
      <c r="A53" s="250"/>
      <c r="B53" s="250"/>
      <c r="C53" s="119" t="s">
        <v>140</v>
      </c>
      <c r="D53" s="162">
        <f t="shared" ref="D53:D58" si="18">E53+F53+G53+H53+I53+J53</f>
        <v>0</v>
      </c>
      <c r="E53" s="162">
        <v>0</v>
      </c>
      <c r="F53" s="162">
        <v>0</v>
      </c>
      <c r="G53" s="162">
        <v>0</v>
      </c>
      <c r="H53" s="162">
        <v>0</v>
      </c>
      <c r="I53" s="162">
        <v>0</v>
      </c>
      <c r="J53" s="162">
        <v>0</v>
      </c>
    </row>
    <row r="54" spans="1:10" s="116" customFormat="1" ht="21" hidden="1" x14ac:dyDescent="0.35">
      <c r="A54" s="250"/>
      <c r="B54" s="250"/>
      <c r="C54" s="119" t="s">
        <v>141</v>
      </c>
      <c r="D54" s="162">
        <f t="shared" si="18"/>
        <v>0</v>
      </c>
      <c r="E54" s="162">
        <v>0</v>
      </c>
      <c r="F54" s="162">
        <v>0</v>
      </c>
      <c r="G54" s="162">
        <v>0</v>
      </c>
      <c r="H54" s="162">
        <v>0</v>
      </c>
      <c r="I54" s="162">
        <v>0</v>
      </c>
      <c r="J54" s="162">
        <v>0</v>
      </c>
    </row>
    <row r="55" spans="1:10" s="116" customFormat="1" ht="21" hidden="1" x14ac:dyDescent="0.35">
      <c r="A55" s="250"/>
      <c r="B55" s="250"/>
      <c r="C55" s="119" t="s">
        <v>142</v>
      </c>
      <c r="D55" s="162">
        <f t="shared" si="18"/>
        <v>0</v>
      </c>
      <c r="E55" s="162">
        <v>0</v>
      </c>
      <c r="F55" s="162">
        <v>0</v>
      </c>
      <c r="G55" s="162">
        <v>0</v>
      </c>
      <c r="H55" s="162">
        <v>0</v>
      </c>
      <c r="I55" s="162">
        <v>0</v>
      </c>
      <c r="J55" s="162">
        <v>0</v>
      </c>
    </row>
    <row r="56" spans="1:10" s="116" customFormat="1" ht="21" hidden="1" x14ac:dyDescent="0.35">
      <c r="A56" s="250"/>
      <c r="B56" s="250"/>
      <c r="C56" s="119" t="s">
        <v>143</v>
      </c>
      <c r="D56" s="162">
        <f t="shared" si="18"/>
        <v>0</v>
      </c>
      <c r="E56" s="162">
        <v>0</v>
      </c>
      <c r="F56" s="162">
        <v>0</v>
      </c>
      <c r="G56" s="162">
        <v>0</v>
      </c>
      <c r="H56" s="162">
        <v>0</v>
      </c>
      <c r="I56" s="162">
        <v>0</v>
      </c>
      <c r="J56" s="162">
        <v>0</v>
      </c>
    </row>
    <row r="57" spans="1:10" s="116" customFormat="1" ht="21" hidden="1" x14ac:dyDescent="0.35">
      <c r="A57" s="250"/>
      <c r="B57" s="250"/>
      <c r="C57" s="119" t="s">
        <v>144</v>
      </c>
      <c r="D57" s="162">
        <f t="shared" si="18"/>
        <v>0</v>
      </c>
      <c r="E57" s="162">
        <v>0</v>
      </c>
      <c r="F57" s="162">
        <v>0</v>
      </c>
      <c r="G57" s="162">
        <v>0</v>
      </c>
      <c r="H57" s="162">
        <v>0</v>
      </c>
      <c r="I57" s="162">
        <v>0</v>
      </c>
      <c r="J57" s="162">
        <v>0</v>
      </c>
    </row>
    <row r="58" spans="1:10" s="116" customFormat="1" ht="21" hidden="1" x14ac:dyDescent="0.35">
      <c r="A58" s="250"/>
      <c r="B58" s="250"/>
      <c r="C58" s="119" t="s">
        <v>145</v>
      </c>
      <c r="D58" s="162">
        <f t="shared" si="18"/>
        <v>0</v>
      </c>
      <c r="E58" s="162">
        <v>0</v>
      </c>
      <c r="F58" s="162">
        <v>0</v>
      </c>
      <c r="G58" s="162">
        <v>0</v>
      </c>
      <c r="H58" s="162">
        <v>0</v>
      </c>
      <c r="I58" s="162">
        <v>0</v>
      </c>
      <c r="J58" s="162">
        <v>0</v>
      </c>
    </row>
    <row r="59" spans="1:10" s="82" customFormat="1" ht="16.5" customHeight="1" x14ac:dyDescent="0.3">
      <c r="A59" s="122"/>
      <c r="B59" s="122"/>
      <c r="C59" s="123"/>
      <c r="D59" s="78"/>
      <c r="E59" s="78"/>
      <c r="F59" s="78"/>
      <c r="G59" s="78"/>
      <c r="H59" s="78"/>
      <c r="I59" s="78"/>
      <c r="J59" s="78"/>
    </row>
    <row r="60" spans="1:10" s="82" customFormat="1" ht="20.25" hidden="1" x14ac:dyDescent="0.3">
      <c r="A60" s="122"/>
      <c r="B60" s="122"/>
      <c r="C60" s="123"/>
      <c r="D60" s="78"/>
      <c r="E60" s="78"/>
      <c r="F60" s="78"/>
      <c r="G60" s="78"/>
      <c r="H60" s="78"/>
      <c r="I60" s="78"/>
      <c r="J60" s="78"/>
    </row>
    <row r="61" spans="1:10" s="83" customFormat="1" ht="33.75" x14ac:dyDescent="0.5">
      <c r="A61" s="256" t="s">
        <v>336</v>
      </c>
      <c r="B61" s="256"/>
      <c r="C61" s="258"/>
      <c r="D61" s="124"/>
      <c r="E61" s="160"/>
      <c r="F61" s="160"/>
      <c r="G61" s="264" t="s">
        <v>334</v>
      </c>
      <c r="H61" s="264"/>
      <c r="I61" s="264"/>
      <c r="J61" s="264"/>
    </row>
    <row r="62" spans="1:10" s="83" customFormat="1" ht="33.75" x14ac:dyDescent="0.5">
      <c r="A62" s="256"/>
      <c r="B62" s="256"/>
      <c r="C62" s="258"/>
      <c r="D62" s="124"/>
      <c r="E62" s="160"/>
      <c r="F62" s="160"/>
      <c r="G62" s="264"/>
      <c r="H62" s="264"/>
      <c r="I62" s="264"/>
      <c r="J62" s="264"/>
    </row>
  </sheetData>
  <mergeCells count="18">
    <mergeCell ref="G61:J62"/>
    <mergeCell ref="A7:A18"/>
    <mergeCell ref="B7:B18"/>
    <mergeCell ref="A19:A30"/>
    <mergeCell ref="B19:B30"/>
    <mergeCell ref="A31:A40"/>
    <mergeCell ref="B31:B40"/>
    <mergeCell ref="A41:A49"/>
    <mergeCell ref="B41:B49"/>
    <mergeCell ref="A50:A58"/>
    <mergeCell ref="B50:B58"/>
    <mergeCell ref="A61:C62"/>
    <mergeCell ref="H1:J3"/>
    <mergeCell ref="A4:J4"/>
    <mergeCell ref="A5:A6"/>
    <mergeCell ref="B5:B6"/>
    <mergeCell ref="C5:C6"/>
    <mergeCell ref="D5:J5"/>
  </mergeCells>
  <pageMargins left="0.70866141732283472" right="0.70866141732283472" top="1.1811023622047245" bottom="0.35433070866141736" header="0.31496062992125984" footer="0.31496062992125984"/>
  <pageSetup paperSize="9" scale="4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 fitToPage="1"/>
  </sheetPr>
  <dimension ref="A1:S173"/>
  <sheetViews>
    <sheetView view="pageBreakPreview" topLeftCell="A109" zoomScale="64" zoomScaleNormal="69" zoomScaleSheetLayoutView="64" zoomScalePageLayoutView="64" workbookViewId="0">
      <selection activeCell="H117" sqref="H117"/>
    </sheetView>
  </sheetViews>
  <sheetFormatPr defaultColWidth="9.140625" defaultRowHeight="20.25" x14ac:dyDescent="0.2"/>
  <cols>
    <col min="1" max="1" width="21.5703125" style="91" customWidth="1"/>
    <col min="2" max="2" width="43.85546875" style="91" customWidth="1"/>
    <col min="3" max="3" width="28.7109375" style="91" customWidth="1"/>
    <col min="4" max="4" width="18.85546875" style="91" customWidth="1"/>
    <col min="5" max="5" width="16.28515625" style="91" customWidth="1"/>
    <col min="6" max="6" width="15.7109375" style="91" customWidth="1"/>
    <col min="7" max="10" width="15.85546875" style="91" customWidth="1"/>
    <col min="11" max="11" width="18.7109375" style="91" customWidth="1"/>
    <col min="12" max="14" width="18.7109375" style="95" customWidth="1"/>
    <col min="15" max="15" width="20.28515625" style="95" customWidth="1"/>
    <col min="16" max="16" width="20.140625" style="91" customWidth="1"/>
    <col min="17" max="17" width="19.85546875" style="91" customWidth="1"/>
    <col min="18" max="18" width="17.5703125" style="91" customWidth="1"/>
    <col min="19" max="19" width="23.7109375" style="91" customWidth="1"/>
    <col min="20" max="16384" width="9.140625" style="91"/>
  </cols>
  <sheetData>
    <row r="1" spans="1:19" hidden="1" x14ac:dyDescent="0.2"/>
    <row r="2" spans="1:19" ht="3.75" hidden="1" customHeight="1" x14ac:dyDescent="0.25">
      <c r="A2" s="126"/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9" s="127" customFormat="1" ht="15" customHeight="1" x14ac:dyDescent="0.4">
      <c r="B3" s="111"/>
      <c r="C3" s="111"/>
      <c r="D3" s="186"/>
      <c r="E3" s="187"/>
      <c r="F3" s="187"/>
      <c r="G3" s="188"/>
      <c r="H3" s="128"/>
      <c r="I3" s="128"/>
      <c r="J3" s="128"/>
      <c r="K3" s="188"/>
      <c r="L3" s="265" t="s">
        <v>272</v>
      </c>
      <c r="M3" s="258"/>
      <c r="N3" s="258"/>
      <c r="O3" s="258"/>
    </row>
    <row r="4" spans="1:19" s="127" customFormat="1" ht="15" customHeight="1" x14ac:dyDescent="0.4">
      <c r="B4" s="111"/>
      <c r="C4" s="111"/>
      <c r="D4" s="186"/>
      <c r="E4" s="187"/>
      <c r="F4" s="187"/>
      <c r="G4" s="128"/>
      <c r="H4" s="128"/>
      <c r="I4" s="128"/>
      <c r="J4" s="128"/>
      <c r="K4" s="185"/>
      <c r="L4" s="258"/>
      <c r="M4" s="258"/>
      <c r="N4" s="258"/>
      <c r="O4" s="258"/>
    </row>
    <row r="5" spans="1:19" s="127" customFormat="1" ht="99.75" customHeight="1" x14ac:dyDescent="0.4">
      <c r="B5" s="111"/>
      <c r="C5" s="111"/>
      <c r="D5" s="186"/>
      <c r="E5" s="187"/>
      <c r="F5" s="187"/>
      <c r="G5" s="128"/>
      <c r="H5" s="128"/>
      <c r="I5" s="128"/>
      <c r="J5" s="128"/>
      <c r="K5" s="185"/>
      <c r="L5" s="258"/>
      <c r="M5" s="258"/>
      <c r="N5" s="258"/>
      <c r="O5" s="258"/>
    </row>
    <row r="6" spans="1:19" s="127" customFormat="1" ht="12.75" hidden="1" customHeight="1" x14ac:dyDescent="0.4">
      <c r="B6" s="111"/>
      <c r="C6" s="111"/>
      <c r="D6" s="186"/>
      <c r="E6" s="187"/>
      <c r="F6" s="187"/>
      <c r="G6" s="128"/>
      <c r="H6" s="128"/>
      <c r="I6" s="128"/>
      <c r="J6" s="128"/>
      <c r="K6" s="185"/>
      <c r="L6" s="185"/>
      <c r="M6" s="193"/>
      <c r="N6" s="207"/>
      <c r="O6" s="198"/>
    </row>
    <row r="7" spans="1:19" s="127" customFormat="1" ht="77.25" hidden="1" customHeight="1" x14ac:dyDescent="0.4">
      <c r="B7" s="111"/>
      <c r="C7" s="111"/>
      <c r="D7" s="272"/>
      <c r="E7" s="273"/>
      <c r="F7" s="273"/>
      <c r="G7" s="273"/>
      <c r="H7" s="273"/>
      <c r="I7" s="273"/>
      <c r="J7" s="273"/>
      <c r="K7" s="110"/>
      <c r="L7" s="95"/>
      <c r="M7" s="95"/>
      <c r="N7" s="95"/>
      <c r="O7" s="95"/>
    </row>
    <row r="8" spans="1:19" s="127" customFormat="1" ht="65.25" hidden="1" customHeight="1" x14ac:dyDescent="0.4">
      <c r="A8" s="129"/>
      <c r="B8" s="111"/>
      <c r="C8" s="85"/>
      <c r="D8" s="85"/>
      <c r="E8" s="130"/>
      <c r="F8" s="85"/>
      <c r="G8" s="85"/>
      <c r="H8" s="85"/>
      <c r="I8" s="85"/>
      <c r="J8" s="85"/>
      <c r="K8" s="111"/>
      <c r="L8" s="95"/>
      <c r="M8" s="95"/>
      <c r="N8" s="95"/>
      <c r="O8" s="95"/>
    </row>
    <row r="9" spans="1:19" s="127" customFormat="1" ht="72.75" customHeight="1" x14ac:dyDescent="0.35">
      <c r="A9" s="280" t="s">
        <v>274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  <c r="L9" s="282"/>
      <c r="M9" s="282"/>
      <c r="N9" s="282"/>
      <c r="O9" s="282"/>
    </row>
    <row r="10" spans="1:19" ht="35.25" customHeight="1" x14ac:dyDescent="0.2">
      <c r="A10" s="131"/>
      <c r="B10" s="132"/>
      <c r="C10" s="86"/>
      <c r="D10" s="86"/>
      <c r="E10" s="86"/>
      <c r="F10" s="86"/>
      <c r="G10" s="86"/>
      <c r="H10" s="86"/>
      <c r="I10" s="86"/>
      <c r="J10" s="86"/>
      <c r="K10" s="86"/>
    </row>
    <row r="11" spans="1:19" s="133" customFormat="1" ht="45" customHeight="1" x14ac:dyDescent="0.3">
      <c r="A11" s="283" t="s">
        <v>5</v>
      </c>
      <c r="B11" s="249" t="s">
        <v>17</v>
      </c>
      <c r="C11" s="283" t="s">
        <v>8</v>
      </c>
      <c r="D11" s="276" t="s">
        <v>21</v>
      </c>
      <c r="E11" s="277"/>
      <c r="F11" s="277"/>
      <c r="G11" s="277"/>
      <c r="H11" s="277"/>
      <c r="I11" s="277"/>
      <c r="J11" s="277"/>
      <c r="K11" s="277"/>
      <c r="L11" s="278"/>
      <c r="M11" s="278"/>
      <c r="N11" s="278"/>
      <c r="O11" s="279"/>
    </row>
    <row r="12" spans="1:19" s="134" customFormat="1" ht="44.25" customHeight="1" x14ac:dyDescent="0.3">
      <c r="A12" s="283"/>
      <c r="B12" s="249"/>
      <c r="C12" s="283"/>
      <c r="D12" s="189" t="s">
        <v>42</v>
      </c>
      <c r="E12" s="189">
        <v>2014</v>
      </c>
      <c r="F12" s="189">
        <v>2015</v>
      </c>
      <c r="G12" s="189">
        <v>2016</v>
      </c>
      <c r="H12" s="189">
        <v>2017</v>
      </c>
      <c r="I12" s="189">
        <v>2018</v>
      </c>
      <c r="J12" s="189">
        <v>2019</v>
      </c>
      <c r="K12" s="189">
        <v>2020</v>
      </c>
      <c r="L12" s="189">
        <v>2021</v>
      </c>
      <c r="M12" s="203">
        <v>2022</v>
      </c>
      <c r="N12" s="208">
        <v>2023</v>
      </c>
      <c r="O12" s="69">
        <v>2024</v>
      </c>
      <c r="S12" s="134" t="s">
        <v>0</v>
      </c>
    </row>
    <row r="13" spans="1:19" s="134" customFormat="1" ht="45.75" customHeight="1" x14ac:dyDescent="0.3">
      <c r="A13" s="269" t="s">
        <v>20</v>
      </c>
      <c r="B13" s="274" t="s">
        <v>176</v>
      </c>
      <c r="C13" s="135" t="s">
        <v>178</v>
      </c>
      <c r="D13" s="87">
        <f>SUM(E13:O13)</f>
        <v>3331487.56</v>
      </c>
      <c r="E13" s="87">
        <f>E14+E15+E16+E17</f>
        <v>208360.30000000002</v>
      </c>
      <c r="F13" s="87">
        <f>F14+F15+F16+F17</f>
        <v>309212.60000000003</v>
      </c>
      <c r="G13" s="87">
        <f>G14+G15+G16+G17</f>
        <v>258497.00999999998</v>
      </c>
      <c r="H13" s="87">
        <f t="shared" ref="H13:I13" si="0">H14+H15+H16+H17</f>
        <v>124165.39000000001</v>
      </c>
      <c r="I13" s="87">
        <f t="shared" si="0"/>
        <v>169970.89</v>
      </c>
      <c r="J13" s="87">
        <f>J14+J15+J16+J17</f>
        <v>187662.89</v>
      </c>
      <c r="K13" s="87">
        <f>K14+K15+K16+K17</f>
        <v>209089.06</v>
      </c>
      <c r="L13" s="141">
        <f t="shared" ref="L13:O13" si="1">L14+L15+L16+L17</f>
        <v>257996.19</v>
      </c>
      <c r="M13" s="141">
        <f t="shared" si="1"/>
        <v>496345.23</v>
      </c>
      <c r="N13" s="87">
        <f t="shared" si="1"/>
        <v>667965.9</v>
      </c>
      <c r="O13" s="93">
        <f t="shared" si="1"/>
        <v>442222.1</v>
      </c>
      <c r="S13" s="136">
        <f>'6 финансирование'!D13+'5 финансирование'!D13</f>
        <v>4800557.8494866947</v>
      </c>
    </row>
    <row r="14" spans="1:19" s="134" customFormat="1" ht="39.75" customHeight="1" x14ac:dyDescent="0.3">
      <c r="A14" s="270"/>
      <c r="B14" s="274"/>
      <c r="C14" s="135" t="s">
        <v>9</v>
      </c>
      <c r="D14" s="87">
        <f t="shared" ref="D14:O17" si="2">D19+D79+D114</f>
        <v>179895.5</v>
      </c>
      <c r="E14" s="87">
        <f t="shared" si="2"/>
        <v>0</v>
      </c>
      <c r="F14" s="87">
        <f t="shared" si="2"/>
        <v>0</v>
      </c>
      <c r="G14" s="87">
        <v>0</v>
      </c>
      <c r="H14" s="87">
        <f t="shared" si="2"/>
        <v>0</v>
      </c>
      <c r="I14" s="87">
        <f t="shared" si="2"/>
        <v>0</v>
      </c>
      <c r="J14" s="87">
        <f t="shared" si="2"/>
        <v>0</v>
      </c>
      <c r="K14" s="87">
        <f t="shared" si="2"/>
        <v>0</v>
      </c>
      <c r="L14" s="141">
        <f t="shared" si="2"/>
        <v>0</v>
      </c>
      <c r="M14" s="141">
        <f t="shared" si="2"/>
        <v>71958.100000000006</v>
      </c>
      <c r="N14" s="87">
        <f t="shared" si="2"/>
        <v>107937.4</v>
      </c>
      <c r="O14" s="93">
        <f t="shared" si="2"/>
        <v>0</v>
      </c>
      <c r="P14" s="136">
        <f>274229.1-P15</f>
        <v>-184757.13</v>
      </c>
      <c r="S14" s="136">
        <f>'6 финансирование'!D14+'5 финансирование'!D14</f>
        <v>179895.5</v>
      </c>
    </row>
    <row r="15" spans="1:19" s="134" customFormat="1" ht="44.25" customHeight="1" x14ac:dyDescent="0.3">
      <c r="A15" s="270"/>
      <c r="B15" s="274"/>
      <c r="C15" s="137" t="s">
        <v>7</v>
      </c>
      <c r="D15" s="87">
        <f>SUM(E15:O15)</f>
        <v>752074.29999999993</v>
      </c>
      <c r="E15" s="87">
        <f>E20+E80+E115</f>
        <v>31863.7</v>
      </c>
      <c r="F15" s="87">
        <f t="shared" si="2"/>
        <v>0</v>
      </c>
      <c r="G15" s="87">
        <f>G20+G148</f>
        <v>65477.9</v>
      </c>
      <c r="H15" s="87">
        <f>H20+H148</f>
        <v>2429</v>
      </c>
      <c r="I15" s="87">
        <f>I20+I148+I115</f>
        <v>19206.400000000001</v>
      </c>
      <c r="J15" s="87">
        <f>J20+J148+J115+J80</f>
        <v>35627.14</v>
      </c>
      <c r="K15" s="87">
        <f>K20+K148+K90</f>
        <v>27098</v>
      </c>
      <c r="L15" s="141">
        <f>L20+L150+L80</f>
        <v>53808.770000000004</v>
      </c>
      <c r="M15" s="141">
        <f>M20+M150+M80</f>
        <v>114983.19</v>
      </c>
      <c r="N15" s="87">
        <f>N20+N80+N150</f>
        <v>221471.09999999998</v>
      </c>
      <c r="O15" s="202">
        <f>O20+O80+O150</f>
        <v>180109.1</v>
      </c>
      <c r="P15" s="136">
        <f>M15+M16+M14</f>
        <v>458986.23</v>
      </c>
      <c r="Q15" s="136">
        <f>N15+N16</f>
        <v>543628.5</v>
      </c>
      <c r="R15" s="136">
        <f>O15+O16</f>
        <v>425822.1</v>
      </c>
      <c r="S15" s="136">
        <f>'6 финансирование'!D15+'5 финансирование'!D15</f>
        <v>812371.23</v>
      </c>
    </row>
    <row r="16" spans="1:19" s="134" customFormat="1" ht="44.25" customHeight="1" x14ac:dyDescent="0.3">
      <c r="A16" s="270"/>
      <c r="B16" s="274"/>
      <c r="C16" s="137" t="s">
        <v>24</v>
      </c>
      <c r="D16" s="87">
        <f>SUM(E16:O16)</f>
        <v>2143238.27</v>
      </c>
      <c r="E16" s="87">
        <f t="shared" si="2"/>
        <v>138477.5</v>
      </c>
      <c r="F16" s="87">
        <f t="shared" si="2"/>
        <v>277752.00000000006</v>
      </c>
      <c r="G16" s="87">
        <f>G21+G81+G116</f>
        <v>166412.59999999998</v>
      </c>
      <c r="H16" s="87">
        <f t="shared" si="2"/>
        <v>105436.39000000001</v>
      </c>
      <c r="I16" s="87">
        <f t="shared" si="2"/>
        <v>131546.63</v>
      </c>
      <c r="J16" s="87">
        <f>J21+J81+J116</f>
        <v>128211.05</v>
      </c>
      <c r="K16" s="87">
        <f t="shared" si="2"/>
        <v>170080.63999999998</v>
      </c>
      <c r="L16" s="141">
        <f>L21+L81+L116+L151</f>
        <v>185406.12</v>
      </c>
      <c r="M16" s="141">
        <f>M21+M81+M116+M151</f>
        <v>272044.94</v>
      </c>
      <c r="N16" s="87">
        <f>N21+N81+N116+N151</f>
        <v>322157.40000000002</v>
      </c>
      <c r="O16" s="141">
        <f>O21+O81+O116+O151</f>
        <v>245713</v>
      </c>
      <c r="P16" s="136">
        <f>N14+N15+N16</f>
        <v>651565.9</v>
      </c>
      <c r="Q16" s="136">
        <f>651565.9-P16</f>
        <v>0</v>
      </c>
      <c r="R16" s="136"/>
      <c r="S16" s="136">
        <f>'6 финансирование'!D16+'5 финансирование'!D16</f>
        <v>3438879.6</v>
      </c>
    </row>
    <row r="17" spans="1:19" s="134" customFormat="1" ht="45.75" customHeight="1" x14ac:dyDescent="0.3">
      <c r="A17" s="270"/>
      <c r="B17" s="274"/>
      <c r="C17" s="137" t="s">
        <v>22</v>
      </c>
      <c r="D17" s="87">
        <f>SUM(E17:O17)</f>
        <v>256279.49000000002</v>
      </c>
      <c r="E17" s="87">
        <f t="shared" si="2"/>
        <v>38019.1</v>
      </c>
      <c r="F17" s="87">
        <f t="shared" si="2"/>
        <v>31460.6</v>
      </c>
      <c r="G17" s="87">
        <f>G22+G82</f>
        <v>26606.510000000002</v>
      </c>
      <c r="H17" s="87">
        <f t="shared" ref="H17:O17" si="3">H22+H82</f>
        <v>16300</v>
      </c>
      <c r="I17" s="87">
        <f t="shared" si="3"/>
        <v>19217.86</v>
      </c>
      <c r="J17" s="87">
        <f t="shared" si="3"/>
        <v>23824.7</v>
      </c>
      <c r="K17" s="87">
        <f t="shared" si="3"/>
        <v>11910.42</v>
      </c>
      <c r="L17" s="141">
        <f t="shared" si="3"/>
        <v>18781.3</v>
      </c>
      <c r="M17" s="141">
        <f t="shared" si="3"/>
        <v>37359</v>
      </c>
      <c r="N17" s="87">
        <f t="shared" si="3"/>
        <v>16400</v>
      </c>
      <c r="O17" s="93">
        <f t="shared" si="3"/>
        <v>16400</v>
      </c>
      <c r="P17" s="136"/>
      <c r="R17" s="136"/>
      <c r="S17" s="136">
        <f>'6 финансирование'!D17+'5 финансирование'!D17</f>
        <v>369411.51948669448</v>
      </c>
    </row>
    <row r="18" spans="1:19" s="134" customFormat="1" ht="43.5" customHeight="1" x14ac:dyDescent="0.3">
      <c r="A18" s="269" t="s">
        <v>25</v>
      </c>
      <c r="B18" s="275" t="s">
        <v>147</v>
      </c>
      <c r="C18" s="135" t="s">
        <v>178</v>
      </c>
      <c r="D18" s="87">
        <f>D19+D20+D21+D22</f>
        <v>2134881.98</v>
      </c>
      <c r="E18" s="87">
        <f>E23+E28+E33+E38+E43+E48+E53+E58+E63+E68+E73</f>
        <v>183712.2</v>
      </c>
      <c r="F18" s="87">
        <f>F21+F22</f>
        <v>283936.40000000002</v>
      </c>
      <c r="G18" s="87">
        <f>SUM(G19:G22)</f>
        <v>226028.3</v>
      </c>
      <c r="H18" s="87">
        <f t="shared" ref="H18:O18" si="4">SUM(H19:H22)</f>
        <v>104790.49</v>
      </c>
      <c r="I18" s="87">
        <f t="shared" si="4"/>
        <v>130765.93000000002</v>
      </c>
      <c r="J18" s="87">
        <f t="shared" si="4"/>
        <v>155502.95000000001</v>
      </c>
      <c r="K18" s="87">
        <f t="shared" si="4"/>
        <v>178669.14</v>
      </c>
      <c r="L18" s="141">
        <f t="shared" si="4"/>
        <v>210610.72999999998</v>
      </c>
      <c r="M18" s="141">
        <f t="shared" si="4"/>
        <v>240526.44</v>
      </c>
      <c r="N18" s="87">
        <f t="shared" si="4"/>
        <v>215640.4</v>
      </c>
      <c r="O18" s="93">
        <f t="shared" si="4"/>
        <v>204699</v>
      </c>
    </row>
    <row r="19" spans="1:19" s="134" customFormat="1" ht="41.25" customHeight="1" x14ac:dyDescent="0.3">
      <c r="A19" s="270"/>
      <c r="B19" s="275"/>
      <c r="C19" s="135" t="s">
        <v>6</v>
      </c>
      <c r="D19" s="87">
        <f>D24+D29+D34+D39+D44+D49+D54+D59+D64+D69+D74</f>
        <v>0</v>
      </c>
      <c r="E19" s="87">
        <f t="shared" ref="E19:O19" si="5">E24+E29+E34+E39+E44+E49+E54+E59+E64+E69+E74</f>
        <v>0</v>
      </c>
      <c r="F19" s="87">
        <f t="shared" si="5"/>
        <v>0</v>
      </c>
      <c r="G19" s="87">
        <v>0</v>
      </c>
      <c r="H19" s="87">
        <f t="shared" si="5"/>
        <v>0</v>
      </c>
      <c r="I19" s="87">
        <f t="shared" si="5"/>
        <v>0</v>
      </c>
      <c r="J19" s="87">
        <f t="shared" si="5"/>
        <v>0</v>
      </c>
      <c r="K19" s="87">
        <f t="shared" si="5"/>
        <v>0</v>
      </c>
      <c r="L19" s="141">
        <f t="shared" si="5"/>
        <v>0</v>
      </c>
      <c r="M19" s="141">
        <f t="shared" si="5"/>
        <v>0</v>
      </c>
      <c r="N19" s="87">
        <f t="shared" si="5"/>
        <v>0</v>
      </c>
      <c r="O19" s="93">
        <f t="shared" si="5"/>
        <v>0</v>
      </c>
      <c r="S19" s="136"/>
    </row>
    <row r="20" spans="1:19" s="134" customFormat="1" ht="42.75" customHeight="1" x14ac:dyDescent="0.3">
      <c r="A20" s="270"/>
      <c r="B20" s="275"/>
      <c r="C20" s="137" t="s">
        <v>7</v>
      </c>
      <c r="D20" s="87">
        <f>E20+F20+G20+H20+I20+J20+K20+L20+M20+N20+O20</f>
        <v>194921.16999999998</v>
      </c>
      <c r="E20" s="87">
        <v>31863.7</v>
      </c>
      <c r="F20" s="87">
        <f t="shared" ref="F20" si="6">F25+F30+F35+F40+F45+F50+F55+F65+F70+F75</f>
        <v>0</v>
      </c>
      <c r="G20" s="87">
        <f>G75</f>
        <v>64058.3</v>
      </c>
      <c r="H20" s="87">
        <f>H30+H75</f>
        <v>1376</v>
      </c>
      <c r="I20" s="87">
        <f>I75+I30</f>
        <v>2388.9700000000003</v>
      </c>
      <c r="J20" s="87">
        <f>J75+J30+J70</f>
        <v>23436.7</v>
      </c>
      <c r="K20" s="87">
        <f>K75+K70+K30</f>
        <v>14152.2</v>
      </c>
      <c r="L20" s="141">
        <f>L75+L65+L30</f>
        <v>40422.910000000003</v>
      </c>
      <c r="M20" s="141">
        <f>M75+M65+M30+M70</f>
        <v>15562.39</v>
      </c>
      <c r="N20" s="87">
        <f t="shared" ref="N20:O20" si="7">N75+N65+N30+N70</f>
        <v>1660</v>
      </c>
      <c r="O20" s="141">
        <f t="shared" si="7"/>
        <v>0</v>
      </c>
      <c r="P20" s="136"/>
      <c r="R20" s="136"/>
    </row>
    <row r="21" spans="1:19" s="134" customFormat="1" ht="46.5" customHeight="1" x14ac:dyDescent="0.3">
      <c r="A21" s="292"/>
      <c r="B21" s="275"/>
      <c r="C21" s="137" t="s">
        <v>24</v>
      </c>
      <c r="D21" s="87">
        <f>E21+F21+G21+H21+I21+J21+K21+L21+M21+N21+O21</f>
        <v>1838932.9400000002</v>
      </c>
      <c r="E21" s="87">
        <f>E26+E31+E36+E41+E46+E51+E61+E66+E71+E76</f>
        <v>133006.5</v>
      </c>
      <c r="F21" s="87">
        <f t="shared" ref="F21:O21" si="8">F26+F31+F36+F41+F46+F51+F61+F66+F71+F76</f>
        <v>271681.40000000002</v>
      </c>
      <c r="G21" s="87">
        <f>G26+G31+G36+G41+G46+G51+G61+G66+G71+G76</f>
        <v>153370</v>
      </c>
      <c r="H21" s="87">
        <f t="shared" si="8"/>
        <v>98764.49</v>
      </c>
      <c r="I21" s="87">
        <f>I26+I31+I36+I41+I46+I51+I56+I61+I66+I71+I76-0.01</f>
        <v>121139.39000000001</v>
      </c>
      <c r="J21" s="87">
        <f>J26+J31+J36+J41+J46+J51+J61+J66+J71+J76</f>
        <v>121629.05</v>
      </c>
      <c r="K21" s="87">
        <f t="shared" si="8"/>
        <v>162717.84</v>
      </c>
      <c r="L21" s="141">
        <f>L26+L31+L36+L41+L46+L51+L61+L66+L71+L76</f>
        <v>165387.81999999998</v>
      </c>
      <c r="M21" s="141">
        <f>M26+M31+M36+M41+M46+M51+M61+M66+M71+M76</f>
        <v>202157.05000000002</v>
      </c>
      <c r="N21" s="87">
        <f>N26+N31+N36+N41+N46+N51+N61+N66+N71+N76</f>
        <v>209180.4</v>
      </c>
      <c r="O21" s="93">
        <f t="shared" si="8"/>
        <v>199899</v>
      </c>
      <c r="P21" s="136"/>
    </row>
    <row r="22" spans="1:19" s="134" customFormat="1" ht="45.75" customHeight="1" x14ac:dyDescent="0.3">
      <c r="A22" s="270"/>
      <c r="B22" s="275"/>
      <c r="C22" s="137" t="s">
        <v>22</v>
      </c>
      <c r="D22" s="87">
        <f>E22+F22+G22+H22+I22+J22+K22+L22+M22+N22+O22</f>
        <v>101027.87</v>
      </c>
      <c r="E22" s="87">
        <f t="shared" ref="E22" si="9">E27+E32+E37+E42+E47+E52+E57+E62+E67+E72+E77</f>
        <v>18842</v>
      </c>
      <c r="F22" s="87">
        <f>F27+F32+F37+F42+F47+F52+F57+F62+F67+F72+F77</f>
        <v>12255</v>
      </c>
      <c r="G22" s="87">
        <f>G42</f>
        <v>8600</v>
      </c>
      <c r="H22" s="87">
        <f t="shared" ref="H22:O22" si="10">H42</f>
        <v>4650</v>
      </c>
      <c r="I22" s="87">
        <f>I42+I77</f>
        <v>7237.57</v>
      </c>
      <c r="J22" s="87">
        <f t="shared" si="10"/>
        <v>10437.200000000001</v>
      </c>
      <c r="K22" s="87">
        <f t="shared" si="10"/>
        <v>1799.1</v>
      </c>
      <c r="L22" s="141">
        <f>L42</f>
        <v>4800</v>
      </c>
      <c r="M22" s="141">
        <f>M42</f>
        <v>22807</v>
      </c>
      <c r="N22" s="87">
        <f t="shared" si="10"/>
        <v>4800</v>
      </c>
      <c r="O22" s="93">
        <f t="shared" si="10"/>
        <v>4800</v>
      </c>
      <c r="P22" s="136"/>
    </row>
    <row r="23" spans="1:19" s="134" customFormat="1" ht="36" customHeight="1" x14ac:dyDescent="0.3">
      <c r="A23" s="261" t="s">
        <v>310</v>
      </c>
      <c r="B23" s="261" t="s">
        <v>203</v>
      </c>
      <c r="C23" s="135" t="s">
        <v>178</v>
      </c>
      <c r="D23" s="87">
        <f>E23+F23+G23+H23+I23+J23+K23+L23+M23+N23+O23</f>
        <v>91890.940000000017</v>
      </c>
      <c r="E23" s="87">
        <f>SUM(E24:E27)</f>
        <v>32738</v>
      </c>
      <c r="F23" s="87">
        <v>19660.7</v>
      </c>
      <c r="G23" s="87">
        <f>G26</f>
        <v>17251.3</v>
      </c>
      <c r="H23" s="87">
        <f>H26</f>
        <v>20167.97</v>
      </c>
      <c r="I23" s="87">
        <f t="shared" ref="I23:O23" si="11">I26</f>
        <v>167.35</v>
      </c>
      <c r="J23" s="87">
        <f t="shared" si="11"/>
        <v>602.07000000000005</v>
      </c>
      <c r="K23" s="87">
        <f t="shared" si="11"/>
        <v>0</v>
      </c>
      <c r="L23" s="141">
        <f t="shared" si="11"/>
        <v>1303.55</v>
      </c>
      <c r="M23" s="141">
        <f t="shared" si="11"/>
        <v>0</v>
      </c>
      <c r="N23" s="87">
        <f t="shared" si="11"/>
        <v>0</v>
      </c>
      <c r="O23" s="93">
        <f t="shared" si="11"/>
        <v>0</v>
      </c>
    </row>
    <row r="24" spans="1:19" s="134" customFormat="1" ht="45.75" customHeight="1" x14ac:dyDescent="0.3">
      <c r="A24" s="286"/>
      <c r="B24" s="286"/>
      <c r="C24" s="135" t="s">
        <v>6</v>
      </c>
      <c r="D24" s="87">
        <f t="shared" ref="D24:D87" si="12">E24+F24+G24+H24+I24+J24+K24+L24+M24+N24+O24</f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87">
        <v>0</v>
      </c>
      <c r="K24" s="87">
        <v>0</v>
      </c>
      <c r="L24" s="141">
        <v>0</v>
      </c>
      <c r="M24" s="201">
        <v>0</v>
      </c>
      <c r="N24" s="87">
        <v>0</v>
      </c>
      <c r="O24" s="94">
        <v>0</v>
      </c>
    </row>
    <row r="25" spans="1:19" s="134" customFormat="1" ht="40.5" customHeight="1" x14ac:dyDescent="0.3">
      <c r="A25" s="286"/>
      <c r="B25" s="286"/>
      <c r="C25" s="137" t="s">
        <v>7</v>
      </c>
      <c r="D25" s="87">
        <f t="shared" si="12"/>
        <v>0</v>
      </c>
      <c r="E25" s="87">
        <v>0</v>
      </c>
      <c r="F25" s="87">
        <v>0</v>
      </c>
      <c r="G25" s="87">
        <v>0</v>
      </c>
      <c r="H25" s="87">
        <v>0</v>
      </c>
      <c r="I25" s="87">
        <v>0</v>
      </c>
      <c r="J25" s="87">
        <v>0</v>
      </c>
      <c r="K25" s="87">
        <v>0</v>
      </c>
      <c r="L25" s="141">
        <v>0</v>
      </c>
      <c r="M25" s="201">
        <v>0</v>
      </c>
      <c r="N25" s="87">
        <v>0</v>
      </c>
      <c r="O25" s="94">
        <v>0</v>
      </c>
    </row>
    <row r="26" spans="1:19" s="134" customFormat="1" ht="43.5" customHeight="1" x14ac:dyDescent="0.3">
      <c r="A26" s="287"/>
      <c r="B26" s="262"/>
      <c r="C26" s="137" t="s">
        <v>24</v>
      </c>
      <c r="D26" s="87">
        <f t="shared" si="12"/>
        <v>80278.940000000017</v>
      </c>
      <c r="E26" s="87">
        <v>21126</v>
      </c>
      <c r="F26" s="87">
        <v>19660.7</v>
      </c>
      <c r="G26" s="87">
        <v>17251.3</v>
      </c>
      <c r="H26" s="87">
        <v>20167.97</v>
      </c>
      <c r="I26" s="87">
        <v>167.35</v>
      </c>
      <c r="J26" s="87">
        <v>602.07000000000005</v>
      </c>
      <c r="K26" s="87">
        <v>0</v>
      </c>
      <c r="L26" s="141">
        <v>1303.55</v>
      </c>
      <c r="M26" s="201">
        <v>0</v>
      </c>
      <c r="N26" s="87">
        <v>0</v>
      </c>
      <c r="O26" s="94">
        <v>0</v>
      </c>
    </row>
    <row r="27" spans="1:19" s="134" customFormat="1" ht="42.75" customHeight="1" x14ac:dyDescent="0.3">
      <c r="A27" s="288"/>
      <c r="B27" s="263"/>
      <c r="C27" s="137" t="s">
        <v>22</v>
      </c>
      <c r="D27" s="87">
        <f t="shared" si="12"/>
        <v>11612</v>
      </c>
      <c r="E27" s="87">
        <v>11612</v>
      </c>
      <c r="F27" s="87">
        <v>0</v>
      </c>
      <c r="G27" s="87">
        <v>0</v>
      </c>
      <c r="H27" s="87">
        <v>0</v>
      </c>
      <c r="I27" s="87">
        <v>0</v>
      </c>
      <c r="J27" s="87">
        <v>0</v>
      </c>
      <c r="K27" s="87">
        <v>0</v>
      </c>
      <c r="L27" s="141">
        <v>0</v>
      </c>
      <c r="M27" s="201">
        <v>0</v>
      </c>
      <c r="N27" s="87">
        <v>0</v>
      </c>
      <c r="O27" s="94">
        <v>0</v>
      </c>
    </row>
    <row r="28" spans="1:19" s="134" customFormat="1" ht="43.5" customHeight="1" x14ac:dyDescent="0.3">
      <c r="A28" s="250" t="s">
        <v>311</v>
      </c>
      <c r="B28" s="250" t="s">
        <v>96</v>
      </c>
      <c r="C28" s="135" t="s">
        <v>178</v>
      </c>
      <c r="D28" s="87">
        <f t="shared" si="12"/>
        <v>166817.31</v>
      </c>
      <c r="E28" s="87">
        <f>SUM(E29:E32)</f>
        <v>12522</v>
      </c>
      <c r="F28" s="87">
        <f>F32+F31</f>
        <v>15887.32</v>
      </c>
      <c r="G28" s="87">
        <f>G32+G31</f>
        <v>16375.01</v>
      </c>
      <c r="H28" s="87">
        <f t="shared" ref="H28:O28" si="13">H29+H30+H31+H32</f>
        <v>9428.73</v>
      </c>
      <c r="I28" s="87">
        <f t="shared" si="13"/>
        <v>15100.98</v>
      </c>
      <c r="J28" s="87">
        <f t="shared" si="13"/>
        <v>23013.88</v>
      </c>
      <c r="K28" s="87">
        <f t="shared" si="13"/>
        <v>14569.34</v>
      </c>
      <c r="L28" s="141">
        <f t="shared" si="13"/>
        <v>15262.27</v>
      </c>
      <c r="M28" s="141">
        <f t="shared" si="13"/>
        <v>16063.779999999999</v>
      </c>
      <c r="N28" s="87">
        <f t="shared" si="13"/>
        <v>14297</v>
      </c>
      <c r="O28" s="93">
        <f t="shared" si="13"/>
        <v>14297</v>
      </c>
    </row>
    <row r="29" spans="1:19" s="134" customFormat="1" ht="43.5" customHeight="1" x14ac:dyDescent="0.3">
      <c r="A29" s="250"/>
      <c r="B29" s="250"/>
      <c r="C29" s="135" t="s">
        <v>6</v>
      </c>
      <c r="D29" s="87">
        <f t="shared" si="12"/>
        <v>0</v>
      </c>
      <c r="E29" s="87">
        <v>0</v>
      </c>
      <c r="F29" s="87">
        <v>0</v>
      </c>
      <c r="G29" s="87">
        <v>0</v>
      </c>
      <c r="H29" s="87">
        <v>0</v>
      </c>
      <c r="I29" s="87">
        <v>0</v>
      </c>
      <c r="J29" s="87">
        <v>0</v>
      </c>
      <c r="K29" s="87">
        <v>0</v>
      </c>
      <c r="L29" s="141">
        <v>0</v>
      </c>
      <c r="M29" s="201">
        <v>0</v>
      </c>
      <c r="N29" s="87">
        <v>0</v>
      </c>
      <c r="O29" s="94">
        <v>0</v>
      </c>
    </row>
    <row r="30" spans="1:19" s="134" customFormat="1" ht="49.5" customHeight="1" x14ac:dyDescent="0.3">
      <c r="A30" s="250"/>
      <c r="B30" s="250"/>
      <c r="C30" s="137" t="s">
        <v>7</v>
      </c>
      <c r="D30" s="87">
        <f t="shared" si="12"/>
        <v>23148.31</v>
      </c>
      <c r="E30" s="87">
        <v>0</v>
      </c>
      <c r="F30" s="87">
        <v>0</v>
      </c>
      <c r="G30" s="87">
        <v>0</v>
      </c>
      <c r="H30" s="87">
        <v>206</v>
      </c>
      <c r="I30" s="87">
        <v>388.97</v>
      </c>
      <c r="J30" s="87">
        <v>20273.88</v>
      </c>
      <c r="K30" s="87">
        <v>920</v>
      </c>
      <c r="L30" s="141">
        <v>505.16</v>
      </c>
      <c r="M30" s="201">
        <v>854.3</v>
      </c>
      <c r="N30" s="87">
        <v>0</v>
      </c>
      <c r="O30" s="94">
        <v>0</v>
      </c>
    </row>
    <row r="31" spans="1:19" s="134" customFormat="1" ht="38.25" customHeight="1" x14ac:dyDescent="0.3">
      <c r="A31" s="289"/>
      <c r="B31" s="251"/>
      <c r="C31" s="137" t="s">
        <v>24</v>
      </c>
      <c r="D31" s="87">
        <f t="shared" si="12"/>
        <v>134298</v>
      </c>
      <c r="E31" s="87">
        <v>10823</v>
      </c>
      <c r="F31" s="87">
        <v>8215.32</v>
      </c>
      <c r="G31" s="87">
        <v>16375.01</v>
      </c>
      <c r="H31" s="87">
        <v>9222.73</v>
      </c>
      <c r="I31" s="87">
        <v>14712.01</v>
      </c>
      <c r="J31" s="87">
        <v>2740</v>
      </c>
      <c r="K31" s="87">
        <v>13649.34</v>
      </c>
      <c r="L31" s="141">
        <v>14757.11</v>
      </c>
      <c r="M31" s="201">
        <v>15209.48</v>
      </c>
      <c r="N31" s="87">
        <v>14297</v>
      </c>
      <c r="O31" s="94">
        <v>14297</v>
      </c>
      <c r="P31" s="136">
        <f>L31+L36</f>
        <v>17800.54</v>
      </c>
      <c r="R31" s="136"/>
    </row>
    <row r="32" spans="1:19" s="134" customFormat="1" ht="46.5" customHeight="1" x14ac:dyDescent="0.3">
      <c r="A32" s="289"/>
      <c r="B32" s="251"/>
      <c r="C32" s="137" t="s">
        <v>22</v>
      </c>
      <c r="D32" s="87">
        <f t="shared" si="12"/>
        <v>9371</v>
      </c>
      <c r="E32" s="87">
        <v>1699</v>
      </c>
      <c r="F32" s="87">
        <v>7672</v>
      </c>
      <c r="G32" s="87">
        <v>0</v>
      </c>
      <c r="H32" s="87">
        <v>0</v>
      </c>
      <c r="I32" s="87">
        <v>0</v>
      </c>
      <c r="J32" s="87">
        <v>0</v>
      </c>
      <c r="K32" s="87">
        <v>0</v>
      </c>
      <c r="L32" s="141">
        <v>0</v>
      </c>
      <c r="M32" s="201">
        <v>0</v>
      </c>
      <c r="N32" s="87">
        <v>0</v>
      </c>
      <c r="O32" s="94">
        <v>0</v>
      </c>
    </row>
    <row r="33" spans="1:19" s="134" customFormat="1" ht="30.75" customHeight="1" x14ac:dyDescent="0.3">
      <c r="A33" s="261" t="s">
        <v>312</v>
      </c>
      <c r="B33" s="261" t="s">
        <v>202</v>
      </c>
      <c r="C33" s="135" t="s">
        <v>178</v>
      </c>
      <c r="D33" s="87">
        <f t="shared" si="12"/>
        <v>59484.67</v>
      </c>
      <c r="E33" s="87">
        <f>E34+E35+E36+E37</f>
        <v>3801</v>
      </c>
      <c r="F33" s="87">
        <f t="shared" ref="F33:O33" si="14">F34+F35+F36+F37</f>
        <v>6241.68</v>
      </c>
      <c r="G33" s="87">
        <f t="shared" si="14"/>
        <v>7867.99</v>
      </c>
      <c r="H33" s="87">
        <f t="shared" si="14"/>
        <v>8685.56</v>
      </c>
      <c r="I33" s="87">
        <f t="shared" si="14"/>
        <v>5800.29</v>
      </c>
      <c r="J33" s="87">
        <f t="shared" si="14"/>
        <v>1091</v>
      </c>
      <c r="K33" s="87">
        <f t="shared" si="14"/>
        <v>2299.4</v>
      </c>
      <c r="L33" s="141">
        <f t="shared" si="14"/>
        <v>3043.43</v>
      </c>
      <c r="M33" s="141">
        <f t="shared" si="14"/>
        <v>3778.32</v>
      </c>
      <c r="N33" s="87">
        <f t="shared" si="14"/>
        <v>8438</v>
      </c>
      <c r="O33" s="93">
        <f t="shared" si="14"/>
        <v>8438</v>
      </c>
      <c r="P33" s="136">
        <f>21394.24-309.5-1500</f>
        <v>19584.740000000002</v>
      </c>
      <c r="R33" s="136"/>
    </row>
    <row r="34" spans="1:19" s="134" customFormat="1" ht="43.5" customHeight="1" x14ac:dyDescent="0.3">
      <c r="A34" s="286"/>
      <c r="B34" s="286"/>
      <c r="C34" s="135" t="s">
        <v>6</v>
      </c>
      <c r="D34" s="87">
        <f t="shared" si="12"/>
        <v>0</v>
      </c>
      <c r="E34" s="87">
        <v>0</v>
      </c>
      <c r="F34" s="87">
        <v>0</v>
      </c>
      <c r="G34" s="87">
        <v>0</v>
      </c>
      <c r="H34" s="87">
        <v>0</v>
      </c>
      <c r="I34" s="87">
        <v>0</v>
      </c>
      <c r="J34" s="87">
        <v>0</v>
      </c>
      <c r="K34" s="87">
        <v>0</v>
      </c>
      <c r="L34" s="141">
        <v>0</v>
      </c>
      <c r="M34" s="201">
        <v>0</v>
      </c>
      <c r="N34" s="87">
        <v>0</v>
      </c>
      <c r="O34" s="94">
        <v>0</v>
      </c>
      <c r="R34" s="136">
        <f>L31+L36</f>
        <v>17800.54</v>
      </c>
      <c r="S34" s="136">
        <f>M31+M36</f>
        <v>18987.8</v>
      </c>
    </row>
    <row r="35" spans="1:19" s="134" customFormat="1" ht="38.25" customHeight="1" x14ac:dyDescent="0.3">
      <c r="A35" s="286"/>
      <c r="B35" s="286"/>
      <c r="C35" s="137" t="s">
        <v>7</v>
      </c>
      <c r="D35" s="87">
        <f t="shared" si="12"/>
        <v>0</v>
      </c>
      <c r="E35" s="87">
        <v>0</v>
      </c>
      <c r="F35" s="87">
        <v>0</v>
      </c>
      <c r="G35" s="87">
        <v>0</v>
      </c>
      <c r="H35" s="87">
        <v>0</v>
      </c>
      <c r="I35" s="87">
        <v>0</v>
      </c>
      <c r="J35" s="87">
        <v>0</v>
      </c>
      <c r="K35" s="87">
        <v>0</v>
      </c>
      <c r="L35" s="141">
        <v>0</v>
      </c>
      <c r="M35" s="201">
        <v>0</v>
      </c>
      <c r="N35" s="87">
        <v>0</v>
      </c>
      <c r="O35" s="94">
        <v>0</v>
      </c>
    </row>
    <row r="36" spans="1:19" s="134" customFormat="1" ht="45.75" customHeight="1" x14ac:dyDescent="0.3">
      <c r="A36" s="287"/>
      <c r="B36" s="262"/>
      <c r="C36" s="137" t="s">
        <v>24</v>
      </c>
      <c r="D36" s="87">
        <f t="shared" si="12"/>
        <v>57926.67</v>
      </c>
      <c r="E36" s="87">
        <v>2243</v>
      </c>
      <c r="F36" s="87">
        <v>6241.68</v>
      </c>
      <c r="G36" s="87">
        <v>7867.99</v>
      </c>
      <c r="H36" s="87">
        <v>8685.56</v>
      </c>
      <c r="I36" s="87">
        <v>5800.29</v>
      </c>
      <c r="J36" s="87">
        <v>1091</v>
      </c>
      <c r="K36" s="87">
        <v>2299.4</v>
      </c>
      <c r="L36" s="141">
        <v>3043.43</v>
      </c>
      <c r="M36" s="201">
        <v>3778.32</v>
      </c>
      <c r="N36" s="87">
        <v>8438</v>
      </c>
      <c r="O36" s="94">
        <v>8438</v>
      </c>
    </row>
    <row r="37" spans="1:19" s="134" customFormat="1" ht="51" customHeight="1" x14ac:dyDescent="0.3">
      <c r="A37" s="288"/>
      <c r="B37" s="263"/>
      <c r="C37" s="137" t="s">
        <v>22</v>
      </c>
      <c r="D37" s="87">
        <f t="shared" si="12"/>
        <v>1558</v>
      </c>
      <c r="E37" s="87">
        <v>1558</v>
      </c>
      <c r="F37" s="87">
        <v>0</v>
      </c>
      <c r="G37" s="87">
        <v>0</v>
      </c>
      <c r="H37" s="87">
        <v>0</v>
      </c>
      <c r="I37" s="87">
        <v>0</v>
      </c>
      <c r="J37" s="87">
        <v>0</v>
      </c>
      <c r="K37" s="87">
        <v>0</v>
      </c>
      <c r="L37" s="141">
        <v>0</v>
      </c>
      <c r="M37" s="201">
        <v>0</v>
      </c>
      <c r="N37" s="87">
        <v>0</v>
      </c>
      <c r="O37" s="94">
        <v>0</v>
      </c>
    </row>
    <row r="38" spans="1:19" s="134" customFormat="1" ht="35.25" customHeight="1" x14ac:dyDescent="0.3">
      <c r="A38" s="261" t="s">
        <v>313</v>
      </c>
      <c r="B38" s="261" t="s">
        <v>39</v>
      </c>
      <c r="C38" s="135" t="s">
        <v>178</v>
      </c>
      <c r="D38" s="87">
        <f t="shared" si="12"/>
        <v>209391.88</v>
      </c>
      <c r="E38" s="87">
        <f>SUM(E39:E42)</f>
        <v>10870</v>
      </c>
      <c r="F38" s="87">
        <f>F41+F42</f>
        <v>12192.9</v>
      </c>
      <c r="G38" s="87">
        <f>G41+G42</f>
        <v>13122</v>
      </c>
      <c r="H38" s="87">
        <f t="shared" ref="H38:O38" si="15">H39+H40+H41+H42</f>
        <v>10719.7</v>
      </c>
      <c r="I38" s="87">
        <f t="shared" si="15"/>
        <v>9623.58</v>
      </c>
      <c r="J38" s="87">
        <f t="shared" si="15"/>
        <v>16718.099999999999</v>
      </c>
      <c r="K38" s="87">
        <f t="shared" si="15"/>
        <v>6821.57</v>
      </c>
      <c r="L38" s="141">
        <f t="shared" si="15"/>
        <v>14678.73</v>
      </c>
      <c r="M38" s="141">
        <f t="shared" si="15"/>
        <v>45840.3</v>
      </c>
      <c r="N38" s="87">
        <f>N39+N40+N41+N42</f>
        <v>40007</v>
      </c>
      <c r="O38" s="93">
        <f t="shared" si="15"/>
        <v>28798</v>
      </c>
    </row>
    <row r="39" spans="1:19" s="134" customFormat="1" ht="39.75" customHeight="1" x14ac:dyDescent="0.3">
      <c r="A39" s="286"/>
      <c r="B39" s="286"/>
      <c r="C39" s="135" t="s">
        <v>6</v>
      </c>
      <c r="D39" s="87">
        <f t="shared" si="12"/>
        <v>0</v>
      </c>
      <c r="E39" s="87">
        <v>0</v>
      </c>
      <c r="F39" s="87">
        <v>0</v>
      </c>
      <c r="G39" s="87">
        <v>0</v>
      </c>
      <c r="H39" s="87">
        <v>0</v>
      </c>
      <c r="I39" s="87">
        <v>0</v>
      </c>
      <c r="J39" s="87">
        <v>0</v>
      </c>
      <c r="K39" s="87">
        <v>0</v>
      </c>
      <c r="L39" s="141">
        <v>0</v>
      </c>
      <c r="M39" s="201">
        <v>0</v>
      </c>
      <c r="N39" s="87">
        <v>0</v>
      </c>
      <c r="O39" s="94">
        <v>0</v>
      </c>
    </row>
    <row r="40" spans="1:19" s="134" customFormat="1" ht="47.25" customHeight="1" x14ac:dyDescent="0.3">
      <c r="A40" s="286"/>
      <c r="B40" s="286"/>
      <c r="C40" s="137" t="s">
        <v>7</v>
      </c>
      <c r="D40" s="87">
        <f t="shared" si="12"/>
        <v>0</v>
      </c>
      <c r="E40" s="87">
        <v>0</v>
      </c>
      <c r="F40" s="87">
        <v>0</v>
      </c>
      <c r="G40" s="87">
        <v>0</v>
      </c>
      <c r="H40" s="87">
        <v>0</v>
      </c>
      <c r="I40" s="87">
        <v>0</v>
      </c>
      <c r="J40" s="87">
        <v>0</v>
      </c>
      <c r="K40" s="87">
        <v>0</v>
      </c>
      <c r="L40" s="141">
        <v>0</v>
      </c>
      <c r="M40" s="201">
        <v>0</v>
      </c>
      <c r="N40" s="87">
        <v>0</v>
      </c>
      <c r="O40" s="94">
        <v>0</v>
      </c>
    </row>
    <row r="41" spans="1:19" s="134" customFormat="1" ht="45.75" customHeight="1" x14ac:dyDescent="0.3">
      <c r="A41" s="287"/>
      <c r="B41" s="262"/>
      <c r="C41" s="137" t="s">
        <v>24</v>
      </c>
      <c r="D41" s="87">
        <f t="shared" si="12"/>
        <v>134716.58000000002</v>
      </c>
      <c r="E41" s="87">
        <v>6897</v>
      </c>
      <c r="F41" s="87">
        <v>7609.9</v>
      </c>
      <c r="G41" s="87">
        <v>4522</v>
      </c>
      <c r="H41" s="87">
        <v>6069.7</v>
      </c>
      <c r="I41" s="87">
        <v>6197.58</v>
      </c>
      <c r="J41" s="87">
        <v>6280.9</v>
      </c>
      <c r="K41" s="87">
        <v>5022.47</v>
      </c>
      <c r="L41" s="141">
        <v>9878.73</v>
      </c>
      <c r="M41" s="201">
        <v>23033.3</v>
      </c>
      <c r="N41" s="87">
        <f>12132+23075</f>
        <v>35207</v>
      </c>
      <c r="O41" s="94">
        <f>23998</f>
        <v>23998</v>
      </c>
    </row>
    <row r="42" spans="1:19" s="134" customFormat="1" ht="48" customHeight="1" x14ac:dyDescent="0.3">
      <c r="A42" s="288"/>
      <c r="B42" s="263"/>
      <c r="C42" s="137" t="s">
        <v>22</v>
      </c>
      <c r="D42" s="87">
        <f t="shared" si="12"/>
        <v>74675.299999999988</v>
      </c>
      <c r="E42" s="87">
        <v>3973</v>
      </c>
      <c r="F42" s="87">
        <v>4583</v>
      </c>
      <c r="G42" s="87">
        <v>8600</v>
      </c>
      <c r="H42" s="87">
        <v>4650</v>
      </c>
      <c r="I42" s="87">
        <v>3426</v>
      </c>
      <c r="J42" s="87">
        <v>10437.200000000001</v>
      </c>
      <c r="K42" s="87">
        <v>1799.1</v>
      </c>
      <c r="L42" s="141">
        <v>4800</v>
      </c>
      <c r="M42" s="201">
        <v>22807</v>
      </c>
      <c r="N42" s="87">
        <v>4800</v>
      </c>
      <c r="O42" s="94">
        <v>4800</v>
      </c>
    </row>
    <row r="43" spans="1:19" s="134" customFormat="1" ht="38.25" customHeight="1" x14ac:dyDescent="0.3">
      <c r="A43" s="261" t="s">
        <v>314</v>
      </c>
      <c r="B43" s="261" t="s">
        <v>181</v>
      </c>
      <c r="C43" s="135" t="s">
        <v>178</v>
      </c>
      <c r="D43" s="87">
        <f t="shared" si="12"/>
        <v>11895.1</v>
      </c>
      <c r="E43" s="87">
        <f>E44+E45+E46+E47</f>
        <v>0</v>
      </c>
      <c r="F43" s="87">
        <f t="shared" ref="F43:O43" si="16">F44+F45+F46+F47</f>
        <v>0</v>
      </c>
      <c r="G43" s="87">
        <f>G46</f>
        <v>95</v>
      </c>
      <c r="H43" s="87">
        <f t="shared" si="16"/>
        <v>1460</v>
      </c>
      <c r="I43" s="87">
        <f t="shared" si="16"/>
        <v>542.54999999999995</v>
      </c>
      <c r="J43" s="87">
        <f t="shared" si="16"/>
        <v>276.5</v>
      </c>
      <c r="K43" s="87">
        <f t="shared" si="16"/>
        <v>50</v>
      </c>
      <c r="L43" s="141">
        <f t="shared" si="16"/>
        <v>1685</v>
      </c>
      <c r="M43" s="141">
        <f t="shared" si="16"/>
        <v>2310.0500000000002</v>
      </c>
      <c r="N43" s="87">
        <f t="shared" si="16"/>
        <v>2738</v>
      </c>
      <c r="O43" s="93">
        <f t="shared" si="16"/>
        <v>2738</v>
      </c>
    </row>
    <row r="44" spans="1:19" s="134" customFormat="1" ht="44.25" customHeight="1" x14ac:dyDescent="0.3">
      <c r="A44" s="286"/>
      <c r="B44" s="286"/>
      <c r="C44" s="135" t="s">
        <v>6</v>
      </c>
      <c r="D44" s="87">
        <f t="shared" si="12"/>
        <v>0</v>
      </c>
      <c r="E44" s="87">
        <v>0</v>
      </c>
      <c r="F44" s="87">
        <v>0</v>
      </c>
      <c r="G44" s="87">
        <v>0</v>
      </c>
      <c r="H44" s="87">
        <v>0</v>
      </c>
      <c r="I44" s="87">
        <v>0</v>
      </c>
      <c r="J44" s="87">
        <v>0</v>
      </c>
      <c r="K44" s="87">
        <v>0</v>
      </c>
      <c r="L44" s="141">
        <v>0</v>
      </c>
      <c r="M44" s="201">
        <v>0</v>
      </c>
      <c r="N44" s="87">
        <v>0</v>
      </c>
      <c r="O44" s="94">
        <v>0</v>
      </c>
    </row>
    <row r="45" spans="1:19" s="134" customFormat="1" ht="48.75" customHeight="1" x14ac:dyDescent="0.3">
      <c r="A45" s="286"/>
      <c r="B45" s="286"/>
      <c r="C45" s="137" t="s">
        <v>7</v>
      </c>
      <c r="D45" s="87">
        <f t="shared" si="12"/>
        <v>0</v>
      </c>
      <c r="E45" s="87">
        <v>0</v>
      </c>
      <c r="F45" s="87">
        <v>0</v>
      </c>
      <c r="G45" s="87">
        <v>0</v>
      </c>
      <c r="H45" s="87">
        <v>0</v>
      </c>
      <c r="I45" s="87">
        <v>0</v>
      </c>
      <c r="J45" s="87">
        <v>0</v>
      </c>
      <c r="K45" s="87">
        <v>0</v>
      </c>
      <c r="L45" s="141">
        <v>0</v>
      </c>
      <c r="M45" s="201">
        <v>0</v>
      </c>
      <c r="N45" s="87">
        <v>0</v>
      </c>
      <c r="O45" s="94">
        <v>0</v>
      </c>
    </row>
    <row r="46" spans="1:19" s="134" customFormat="1" ht="40.5" customHeight="1" x14ac:dyDescent="0.3">
      <c r="A46" s="287"/>
      <c r="B46" s="262"/>
      <c r="C46" s="137" t="s">
        <v>24</v>
      </c>
      <c r="D46" s="87">
        <f t="shared" si="12"/>
        <v>11895.1</v>
      </c>
      <c r="E46" s="87">
        <v>0</v>
      </c>
      <c r="F46" s="87">
        <v>0</v>
      </c>
      <c r="G46" s="87">
        <v>95</v>
      </c>
      <c r="H46" s="87">
        <v>1460</v>
      </c>
      <c r="I46" s="87">
        <v>542.54999999999995</v>
      </c>
      <c r="J46" s="87">
        <v>276.5</v>
      </c>
      <c r="K46" s="87">
        <v>50</v>
      </c>
      <c r="L46" s="141">
        <v>1685</v>
      </c>
      <c r="M46" s="201">
        <v>2310.0500000000002</v>
      </c>
      <c r="N46" s="87">
        <f>100+2638</f>
        <v>2738</v>
      </c>
      <c r="O46" s="94">
        <v>2738</v>
      </c>
    </row>
    <row r="47" spans="1:19" s="134" customFormat="1" ht="45.75" customHeight="1" x14ac:dyDescent="0.3">
      <c r="A47" s="288"/>
      <c r="B47" s="263"/>
      <c r="C47" s="137" t="s">
        <v>22</v>
      </c>
      <c r="D47" s="87">
        <f t="shared" si="12"/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  <c r="K47" s="87">
        <v>0</v>
      </c>
      <c r="L47" s="141">
        <v>0</v>
      </c>
      <c r="M47" s="201">
        <v>0</v>
      </c>
      <c r="N47" s="87">
        <v>0</v>
      </c>
      <c r="O47" s="94">
        <v>0</v>
      </c>
    </row>
    <row r="48" spans="1:19" s="134" customFormat="1" ht="37.5" customHeight="1" x14ac:dyDescent="0.3">
      <c r="A48" s="274" t="s">
        <v>315</v>
      </c>
      <c r="B48" s="275" t="s">
        <v>38</v>
      </c>
      <c r="C48" s="135" t="s">
        <v>178</v>
      </c>
      <c r="D48" s="87">
        <f t="shared" si="12"/>
        <v>7973</v>
      </c>
      <c r="E48" s="87">
        <f>E49+E50+E51+E52</f>
        <v>1436.5</v>
      </c>
      <c r="F48" s="87">
        <v>1311</v>
      </c>
      <c r="G48" s="87">
        <v>1043</v>
      </c>
      <c r="H48" s="87">
        <f t="shared" ref="H48:O48" si="17">H49+H50+H51+H52</f>
        <v>588</v>
      </c>
      <c r="I48" s="87">
        <f t="shared" si="17"/>
        <v>1278</v>
      </c>
      <c r="J48" s="87">
        <f t="shared" si="17"/>
        <v>765</v>
      </c>
      <c r="K48" s="87">
        <f t="shared" si="17"/>
        <v>597.6</v>
      </c>
      <c r="L48" s="141">
        <f t="shared" si="17"/>
        <v>573.5</v>
      </c>
      <c r="M48" s="141">
        <f t="shared" si="17"/>
        <v>380.4</v>
      </c>
      <c r="N48" s="87">
        <f t="shared" si="17"/>
        <v>0</v>
      </c>
      <c r="O48" s="93">
        <f t="shared" si="17"/>
        <v>0</v>
      </c>
    </row>
    <row r="49" spans="1:15" s="134" customFormat="1" ht="43.5" customHeight="1" x14ac:dyDescent="0.3">
      <c r="A49" s="274"/>
      <c r="B49" s="275"/>
      <c r="C49" s="135" t="s">
        <v>6</v>
      </c>
      <c r="D49" s="87">
        <f t="shared" si="12"/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  <c r="K49" s="87">
        <v>0</v>
      </c>
      <c r="L49" s="141">
        <v>0</v>
      </c>
      <c r="M49" s="201">
        <v>0</v>
      </c>
      <c r="N49" s="87">
        <v>0</v>
      </c>
      <c r="O49" s="94">
        <v>0</v>
      </c>
    </row>
    <row r="50" spans="1:15" s="134" customFormat="1" ht="38.25" customHeight="1" x14ac:dyDescent="0.3">
      <c r="A50" s="274"/>
      <c r="B50" s="275"/>
      <c r="C50" s="137" t="s">
        <v>7</v>
      </c>
      <c r="D50" s="87">
        <f t="shared" si="12"/>
        <v>0</v>
      </c>
      <c r="E50" s="87">
        <v>0</v>
      </c>
      <c r="F50" s="87">
        <v>0</v>
      </c>
      <c r="G50" s="87">
        <v>0</v>
      </c>
      <c r="H50" s="87">
        <v>0</v>
      </c>
      <c r="I50" s="87">
        <v>0</v>
      </c>
      <c r="J50" s="87">
        <v>0</v>
      </c>
      <c r="K50" s="87">
        <v>0</v>
      </c>
      <c r="L50" s="141">
        <v>0</v>
      </c>
      <c r="M50" s="201">
        <v>0</v>
      </c>
      <c r="N50" s="87">
        <v>0</v>
      </c>
      <c r="O50" s="94">
        <v>0</v>
      </c>
    </row>
    <row r="51" spans="1:15" s="134" customFormat="1" ht="48.75" customHeight="1" x14ac:dyDescent="0.3">
      <c r="A51" s="274"/>
      <c r="B51" s="275"/>
      <c r="C51" s="137" t="s">
        <v>24</v>
      </c>
      <c r="D51" s="87">
        <f t="shared" si="12"/>
        <v>7973</v>
      </c>
      <c r="E51" s="87">
        <v>1436.5</v>
      </c>
      <c r="F51" s="87">
        <v>1311</v>
      </c>
      <c r="G51" s="87">
        <v>1043</v>
      </c>
      <c r="H51" s="87">
        <v>588</v>
      </c>
      <c r="I51" s="87">
        <v>1278</v>
      </c>
      <c r="J51" s="87">
        <v>765</v>
      </c>
      <c r="K51" s="87">
        <v>597.6</v>
      </c>
      <c r="L51" s="141">
        <v>573.5</v>
      </c>
      <c r="M51" s="201">
        <v>380.4</v>
      </c>
      <c r="N51" s="87">
        <v>0</v>
      </c>
      <c r="O51" s="94">
        <v>0</v>
      </c>
    </row>
    <row r="52" spans="1:15" s="134" customFormat="1" ht="38.25" customHeight="1" x14ac:dyDescent="0.3">
      <c r="A52" s="274"/>
      <c r="B52" s="275"/>
      <c r="C52" s="137" t="s">
        <v>22</v>
      </c>
      <c r="D52" s="87">
        <f t="shared" si="12"/>
        <v>0</v>
      </c>
      <c r="E52" s="87">
        <v>0</v>
      </c>
      <c r="F52" s="87">
        <v>0</v>
      </c>
      <c r="G52" s="87">
        <v>0</v>
      </c>
      <c r="H52" s="87">
        <v>0</v>
      </c>
      <c r="I52" s="87">
        <v>0</v>
      </c>
      <c r="J52" s="87">
        <v>0</v>
      </c>
      <c r="K52" s="87">
        <v>0</v>
      </c>
      <c r="L52" s="141">
        <v>0</v>
      </c>
      <c r="M52" s="201">
        <v>0</v>
      </c>
      <c r="N52" s="87">
        <v>0</v>
      </c>
      <c r="O52" s="94">
        <v>0</v>
      </c>
    </row>
    <row r="53" spans="1:15" s="134" customFormat="1" ht="37.5" customHeight="1" x14ac:dyDescent="0.3">
      <c r="A53" s="274" t="s">
        <v>316</v>
      </c>
      <c r="B53" s="266" t="s">
        <v>84</v>
      </c>
      <c r="C53" s="135" t="s">
        <v>178</v>
      </c>
      <c r="D53" s="87">
        <f t="shared" si="12"/>
        <v>0</v>
      </c>
      <c r="E53" s="87">
        <v>0</v>
      </c>
      <c r="F53" s="87">
        <v>0</v>
      </c>
      <c r="G53" s="87">
        <v>0</v>
      </c>
      <c r="H53" s="87">
        <v>0</v>
      </c>
      <c r="I53" s="87">
        <v>0</v>
      </c>
      <c r="J53" s="87">
        <v>0</v>
      </c>
      <c r="K53" s="87">
        <v>0</v>
      </c>
      <c r="L53" s="141">
        <v>0</v>
      </c>
      <c r="M53" s="141">
        <v>0</v>
      </c>
      <c r="N53" s="87">
        <v>0</v>
      </c>
      <c r="O53" s="93">
        <v>0</v>
      </c>
    </row>
    <row r="54" spans="1:15" s="134" customFormat="1" ht="44.25" customHeight="1" x14ac:dyDescent="0.3">
      <c r="A54" s="274"/>
      <c r="B54" s="267"/>
      <c r="C54" s="135" t="s">
        <v>6</v>
      </c>
      <c r="D54" s="87">
        <f t="shared" si="12"/>
        <v>0</v>
      </c>
      <c r="E54" s="87">
        <v>0</v>
      </c>
      <c r="F54" s="87">
        <v>0</v>
      </c>
      <c r="G54" s="87">
        <v>0</v>
      </c>
      <c r="H54" s="87">
        <v>0</v>
      </c>
      <c r="I54" s="87">
        <v>0</v>
      </c>
      <c r="J54" s="87">
        <v>0</v>
      </c>
      <c r="K54" s="87">
        <v>0</v>
      </c>
      <c r="L54" s="141">
        <v>0</v>
      </c>
      <c r="M54" s="201">
        <v>0</v>
      </c>
      <c r="N54" s="87">
        <v>0</v>
      </c>
      <c r="O54" s="94">
        <v>0</v>
      </c>
    </row>
    <row r="55" spans="1:15" s="134" customFormat="1" ht="44.25" customHeight="1" x14ac:dyDescent="0.3">
      <c r="A55" s="274"/>
      <c r="B55" s="267"/>
      <c r="C55" s="137" t="s">
        <v>7</v>
      </c>
      <c r="D55" s="87">
        <f t="shared" si="12"/>
        <v>0</v>
      </c>
      <c r="E55" s="87">
        <v>0</v>
      </c>
      <c r="F55" s="87">
        <v>0</v>
      </c>
      <c r="G55" s="87">
        <v>0</v>
      </c>
      <c r="H55" s="87">
        <v>0</v>
      </c>
      <c r="I55" s="87">
        <v>0</v>
      </c>
      <c r="J55" s="87">
        <v>0</v>
      </c>
      <c r="K55" s="87">
        <v>0</v>
      </c>
      <c r="L55" s="141">
        <v>0</v>
      </c>
      <c r="M55" s="201">
        <v>0</v>
      </c>
      <c r="N55" s="87">
        <v>0</v>
      </c>
      <c r="O55" s="94">
        <v>0</v>
      </c>
    </row>
    <row r="56" spans="1:15" s="134" customFormat="1" ht="49.5" customHeight="1" x14ac:dyDescent="0.3">
      <c r="A56" s="274"/>
      <c r="B56" s="267"/>
      <c r="C56" s="137" t="s">
        <v>24</v>
      </c>
      <c r="D56" s="87">
        <f t="shared" si="12"/>
        <v>0</v>
      </c>
      <c r="E56" s="87">
        <v>0</v>
      </c>
      <c r="F56" s="87">
        <v>0</v>
      </c>
      <c r="G56" s="87">
        <v>0</v>
      </c>
      <c r="H56" s="87">
        <v>0</v>
      </c>
      <c r="I56" s="87">
        <v>0</v>
      </c>
      <c r="J56" s="87">
        <v>0</v>
      </c>
      <c r="K56" s="87">
        <v>0</v>
      </c>
      <c r="L56" s="141">
        <v>0</v>
      </c>
      <c r="M56" s="201">
        <v>0</v>
      </c>
      <c r="N56" s="87">
        <v>0</v>
      </c>
      <c r="O56" s="94">
        <v>0</v>
      </c>
    </row>
    <row r="57" spans="1:15" s="134" customFormat="1" ht="39" customHeight="1" x14ac:dyDescent="0.3">
      <c r="A57" s="274"/>
      <c r="B57" s="268"/>
      <c r="C57" s="137" t="s">
        <v>22</v>
      </c>
      <c r="D57" s="87">
        <f t="shared" si="12"/>
        <v>0</v>
      </c>
      <c r="E57" s="87">
        <v>0</v>
      </c>
      <c r="F57" s="87">
        <v>0</v>
      </c>
      <c r="G57" s="87">
        <v>0</v>
      </c>
      <c r="H57" s="87">
        <v>0</v>
      </c>
      <c r="I57" s="87">
        <v>0</v>
      </c>
      <c r="J57" s="87">
        <v>0</v>
      </c>
      <c r="K57" s="87">
        <v>0</v>
      </c>
      <c r="L57" s="141">
        <v>0</v>
      </c>
      <c r="M57" s="201">
        <v>0</v>
      </c>
      <c r="N57" s="87">
        <v>0</v>
      </c>
      <c r="O57" s="94">
        <v>0</v>
      </c>
    </row>
    <row r="58" spans="1:15" s="134" customFormat="1" ht="33" customHeight="1" x14ac:dyDescent="0.3">
      <c r="A58" s="274" t="s">
        <v>317</v>
      </c>
      <c r="B58" s="275" t="s">
        <v>179</v>
      </c>
      <c r="C58" s="135" t="s">
        <v>178</v>
      </c>
      <c r="D58" s="87">
        <f t="shared" si="12"/>
        <v>1261.5500000000002</v>
      </c>
      <c r="E58" s="87">
        <f>E59+E60+E61+E62</f>
        <v>0</v>
      </c>
      <c r="F58" s="87">
        <v>149.5</v>
      </c>
      <c r="G58" s="87">
        <f>G61</f>
        <v>131</v>
      </c>
      <c r="H58" s="87">
        <f>H61</f>
        <v>284.10000000000002</v>
      </c>
      <c r="I58" s="87">
        <f t="shared" ref="I58:O58" si="18">I61</f>
        <v>295.55</v>
      </c>
      <c r="J58" s="87">
        <f t="shared" si="18"/>
        <v>99.2</v>
      </c>
      <c r="K58" s="87">
        <f t="shared" si="18"/>
        <v>302.2</v>
      </c>
      <c r="L58" s="141">
        <f t="shared" si="18"/>
        <v>0</v>
      </c>
      <c r="M58" s="141">
        <f t="shared" si="18"/>
        <v>0</v>
      </c>
      <c r="N58" s="87">
        <f t="shared" si="18"/>
        <v>0</v>
      </c>
      <c r="O58" s="93">
        <f t="shared" si="18"/>
        <v>0</v>
      </c>
    </row>
    <row r="59" spans="1:15" s="134" customFormat="1" ht="49.5" customHeight="1" x14ac:dyDescent="0.3">
      <c r="A59" s="274"/>
      <c r="B59" s="275"/>
      <c r="C59" s="135" t="s">
        <v>6</v>
      </c>
      <c r="D59" s="87">
        <f t="shared" si="12"/>
        <v>0</v>
      </c>
      <c r="E59" s="87">
        <v>0</v>
      </c>
      <c r="F59" s="87">
        <v>0</v>
      </c>
      <c r="G59" s="87">
        <v>0</v>
      </c>
      <c r="H59" s="87">
        <v>0</v>
      </c>
      <c r="I59" s="87">
        <v>0</v>
      </c>
      <c r="J59" s="87">
        <v>0</v>
      </c>
      <c r="K59" s="87">
        <v>0</v>
      </c>
      <c r="L59" s="141">
        <v>0</v>
      </c>
      <c r="M59" s="201">
        <v>0</v>
      </c>
      <c r="N59" s="87">
        <v>0</v>
      </c>
      <c r="O59" s="94">
        <v>0</v>
      </c>
    </row>
    <row r="60" spans="1:15" s="134" customFormat="1" ht="39.75" customHeight="1" x14ac:dyDescent="0.3">
      <c r="A60" s="274"/>
      <c r="B60" s="275"/>
      <c r="C60" s="137" t="s">
        <v>7</v>
      </c>
      <c r="D60" s="87">
        <f t="shared" si="12"/>
        <v>0</v>
      </c>
      <c r="E60" s="87">
        <v>0</v>
      </c>
      <c r="F60" s="87">
        <v>0</v>
      </c>
      <c r="G60" s="87">
        <v>0</v>
      </c>
      <c r="H60" s="87">
        <v>0</v>
      </c>
      <c r="I60" s="87">
        <v>0</v>
      </c>
      <c r="J60" s="87">
        <v>0</v>
      </c>
      <c r="K60" s="87">
        <v>0</v>
      </c>
      <c r="L60" s="141">
        <v>0</v>
      </c>
      <c r="M60" s="201">
        <v>0</v>
      </c>
      <c r="N60" s="87">
        <v>0</v>
      </c>
      <c r="O60" s="94">
        <v>0</v>
      </c>
    </row>
    <row r="61" spans="1:15" s="134" customFormat="1" ht="45" customHeight="1" x14ac:dyDescent="0.3">
      <c r="A61" s="274"/>
      <c r="B61" s="275"/>
      <c r="C61" s="137" t="s">
        <v>24</v>
      </c>
      <c r="D61" s="87">
        <f t="shared" si="12"/>
        <v>1261.5500000000002</v>
      </c>
      <c r="E61" s="87">
        <v>0</v>
      </c>
      <c r="F61" s="87">
        <v>149.5</v>
      </c>
      <c r="G61" s="87">
        <v>131</v>
      </c>
      <c r="H61" s="87">
        <v>284.10000000000002</v>
      </c>
      <c r="I61" s="87">
        <v>295.55</v>
      </c>
      <c r="J61" s="87">
        <v>99.2</v>
      </c>
      <c r="K61" s="87">
        <v>302.2</v>
      </c>
      <c r="L61" s="141">
        <v>0</v>
      </c>
      <c r="M61" s="201">
        <v>0</v>
      </c>
      <c r="N61" s="87">
        <v>0</v>
      </c>
      <c r="O61" s="94">
        <v>0</v>
      </c>
    </row>
    <row r="62" spans="1:15" s="134" customFormat="1" ht="41.25" customHeight="1" x14ac:dyDescent="0.3">
      <c r="A62" s="274"/>
      <c r="B62" s="275"/>
      <c r="C62" s="137" t="s">
        <v>22</v>
      </c>
      <c r="D62" s="87">
        <f t="shared" si="12"/>
        <v>0</v>
      </c>
      <c r="E62" s="87">
        <v>0</v>
      </c>
      <c r="F62" s="87">
        <v>0</v>
      </c>
      <c r="G62" s="87">
        <v>0</v>
      </c>
      <c r="H62" s="87">
        <v>0</v>
      </c>
      <c r="I62" s="87">
        <v>0</v>
      </c>
      <c r="J62" s="87">
        <v>0</v>
      </c>
      <c r="K62" s="87">
        <v>0</v>
      </c>
      <c r="L62" s="141">
        <v>0</v>
      </c>
      <c r="M62" s="201">
        <v>0</v>
      </c>
      <c r="N62" s="87">
        <v>0</v>
      </c>
      <c r="O62" s="94">
        <v>0</v>
      </c>
    </row>
    <row r="63" spans="1:15" s="134" customFormat="1" ht="46.5" customHeight="1" x14ac:dyDescent="0.3">
      <c r="A63" s="274" t="s">
        <v>318</v>
      </c>
      <c r="B63" s="275" t="s">
        <v>209</v>
      </c>
      <c r="C63" s="135" t="s">
        <v>178</v>
      </c>
      <c r="D63" s="87">
        <f t="shared" si="12"/>
        <v>44804.600000000006</v>
      </c>
      <c r="E63" s="87">
        <f>E64+E65+E66+E67</f>
        <v>3318</v>
      </c>
      <c r="F63" s="87">
        <f t="shared" ref="F63:O63" si="19">F64+F65+F66+F67</f>
        <v>0</v>
      </c>
      <c r="G63" s="87">
        <f>G66</f>
        <v>3242</v>
      </c>
      <c r="H63" s="87">
        <f t="shared" si="19"/>
        <v>0</v>
      </c>
      <c r="I63" s="87">
        <f t="shared" si="19"/>
        <v>7125.3</v>
      </c>
      <c r="J63" s="87">
        <f t="shared" si="19"/>
        <v>0</v>
      </c>
      <c r="K63" s="87">
        <f t="shared" si="19"/>
        <v>8075</v>
      </c>
      <c r="L63" s="141">
        <f t="shared" si="19"/>
        <v>19892</v>
      </c>
      <c r="M63" s="141">
        <f t="shared" si="19"/>
        <v>3152.3</v>
      </c>
      <c r="N63" s="87">
        <f t="shared" si="19"/>
        <v>0</v>
      </c>
      <c r="O63" s="93">
        <f t="shared" si="19"/>
        <v>0</v>
      </c>
    </row>
    <row r="64" spans="1:15" s="134" customFormat="1" ht="39.75" customHeight="1" x14ac:dyDescent="0.3">
      <c r="A64" s="274"/>
      <c r="B64" s="275"/>
      <c r="C64" s="135" t="s">
        <v>6</v>
      </c>
      <c r="D64" s="87">
        <f t="shared" si="12"/>
        <v>0</v>
      </c>
      <c r="E64" s="87">
        <v>0</v>
      </c>
      <c r="F64" s="87">
        <v>0</v>
      </c>
      <c r="G64" s="87">
        <v>0</v>
      </c>
      <c r="H64" s="87">
        <v>0</v>
      </c>
      <c r="I64" s="87">
        <v>0</v>
      </c>
      <c r="J64" s="87">
        <v>0</v>
      </c>
      <c r="K64" s="87">
        <v>0</v>
      </c>
      <c r="L64" s="141">
        <v>0</v>
      </c>
      <c r="M64" s="201">
        <v>0</v>
      </c>
      <c r="N64" s="87">
        <v>0</v>
      </c>
      <c r="O64" s="94">
        <v>0</v>
      </c>
    </row>
    <row r="65" spans="1:17" s="134" customFormat="1" ht="40.5" customHeight="1" x14ac:dyDescent="0.3">
      <c r="A65" s="274"/>
      <c r="B65" s="275"/>
      <c r="C65" s="137" t="s">
        <v>7</v>
      </c>
      <c r="D65" s="87">
        <f t="shared" si="12"/>
        <v>20259</v>
      </c>
      <c r="E65" s="87">
        <v>0</v>
      </c>
      <c r="F65" s="87">
        <v>0</v>
      </c>
      <c r="G65" s="87">
        <v>0</v>
      </c>
      <c r="H65" s="87">
        <v>0</v>
      </c>
      <c r="I65" s="87">
        <v>0</v>
      </c>
      <c r="J65" s="87">
        <v>0</v>
      </c>
      <c r="K65" s="87">
        <v>0</v>
      </c>
      <c r="L65" s="141">
        <v>17485</v>
      </c>
      <c r="M65" s="201">
        <v>2774</v>
      </c>
      <c r="N65" s="87">
        <v>0</v>
      </c>
      <c r="O65" s="94">
        <v>0</v>
      </c>
    </row>
    <row r="66" spans="1:17" s="134" customFormat="1" ht="51" customHeight="1" x14ac:dyDescent="0.3">
      <c r="A66" s="274"/>
      <c r="B66" s="275"/>
      <c r="C66" s="137" t="s">
        <v>24</v>
      </c>
      <c r="D66" s="87">
        <f t="shared" si="12"/>
        <v>24545.599999999999</v>
      </c>
      <c r="E66" s="87">
        <v>3318</v>
      </c>
      <c r="F66" s="87">
        <v>0</v>
      </c>
      <c r="G66" s="87">
        <v>3242</v>
      </c>
      <c r="H66" s="87">
        <v>0</v>
      </c>
      <c r="I66" s="87">
        <v>7125.3</v>
      </c>
      <c r="J66" s="87">
        <v>0</v>
      </c>
      <c r="K66" s="87">
        <v>8075</v>
      </c>
      <c r="L66" s="141">
        <v>2407</v>
      </c>
      <c r="M66" s="201">
        <v>378.3</v>
      </c>
      <c r="N66" s="87">
        <v>0</v>
      </c>
      <c r="O66" s="94">
        <v>0</v>
      </c>
    </row>
    <row r="67" spans="1:17" s="134" customFormat="1" ht="43.5" customHeight="1" x14ac:dyDescent="0.3">
      <c r="A67" s="274"/>
      <c r="B67" s="275"/>
      <c r="C67" s="137" t="s">
        <v>22</v>
      </c>
      <c r="D67" s="87">
        <f t="shared" si="12"/>
        <v>0</v>
      </c>
      <c r="E67" s="87">
        <v>0</v>
      </c>
      <c r="F67" s="87">
        <v>0</v>
      </c>
      <c r="G67" s="87">
        <v>0</v>
      </c>
      <c r="H67" s="87">
        <v>0</v>
      </c>
      <c r="I67" s="87">
        <v>0</v>
      </c>
      <c r="J67" s="87">
        <v>0</v>
      </c>
      <c r="K67" s="87">
        <v>0</v>
      </c>
      <c r="L67" s="141">
        <v>0</v>
      </c>
      <c r="M67" s="201">
        <v>0</v>
      </c>
      <c r="N67" s="87">
        <v>0</v>
      </c>
      <c r="O67" s="94">
        <v>0</v>
      </c>
    </row>
    <row r="68" spans="1:17" s="134" customFormat="1" ht="44.25" customHeight="1" x14ac:dyDescent="0.3">
      <c r="A68" s="274" t="s">
        <v>319</v>
      </c>
      <c r="B68" s="275" t="s">
        <v>340</v>
      </c>
      <c r="C68" s="135" t="s">
        <v>178</v>
      </c>
      <c r="D68" s="87">
        <f t="shared" si="12"/>
        <v>1055477.9000000001</v>
      </c>
      <c r="E68" s="87">
        <f>E69+E70+E71+E72</f>
        <v>33809</v>
      </c>
      <c r="F68" s="87">
        <v>38430</v>
      </c>
      <c r="G68" s="87">
        <f>G71</f>
        <v>47882</v>
      </c>
      <c r="H68" s="87">
        <f>H69+H70+H71+H72</f>
        <v>49214.13</v>
      </c>
      <c r="I68" s="87">
        <f t="shared" ref="I68:O68" si="20">I69+I70+I71+I72</f>
        <v>77371</v>
      </c>
      <c r="J68" s="87">
        <f t="shared" si="20"/>
        <v>107186.7</v>
      </c>
      <c r="K68" s="87">
        <f t="shared" si="20"/>
        <v>134223.20000000001</v>
      </c>
      <c r="L68" s="141">
        <f t="shared" si="20"/>
        <v>123307.67</v>
      </c>
      <c r="M68" s="141">
        <f t="shared" si="20"/>
        <v>145385.20000000001</v>
      </c>
      <c r="N68" s="87">
        <f t="shared" si="20"/>
        <v>148241</v>
      </c>
      <c r="O68" s="93">
        <f t="shared" si="20"/>
        <v>150428</v>
      </c>
    </row>
    <row r="69" spans="1:17" s="134" customFormat="1" ht="43.5" customHeight="1" x14ac:dyDescent="0.3">
      <c r="A69" s="274"/>
      <c r="B69" s="275"/>
      <c r="C69" s="135" t="s">
        <v>6</v>
      </c>
      <c r="D69" s="87">
        <f t="shared" si="12"/>
        <v>0</v>
      </c>
      <c r="E69" s="87">
        <v>0</v>
      </c>
      <c r="F69" s="87">
        <v>0</v>
      </c>
      <c r="G69" s="87">
        <v>0</v>
      </c>
      <c r="H69" s="87">
        <v>0</v>
      </c>
      <c r="I69" s="87">
        <v>0</v>
      </c>
      <c r="J69" s="87">
        <v>0</v>
      </c>
      <c r="K69" s="87">
        <v>0</v>
      </c>
      <c r="L69" s="191">
        <v>0</v>
      </c>
      <c r="M69" s="201">
        <v>0</v>
      </c>
      <c r="N69" s="87">
        <v>0</v>
      </c>
      <c r="O69" s="138">
        <v>0</v>
      </c>
    </row>
    <row r="70" spans="1:17" s="134" customFormat="1" ht="40.5" customHeight="1" x14ac:dyDescent="0.3">
      <c r="A70" s="274"/>
      <c r="B70" s="275"/>
      <c r="C70" s="137" t="s">
        <v>7</v>
      </c>
      <c r="D70" s="87">
        <f t="shared" si="12"/>
        <v>7601.62</v>
      </c>
      <c r="E70" s="87">
        <v>0</v>
      </c>
      <c r="F70" s="87">
        <v>0</v>
      </c>
      <c r="G70" s="87">
        <v>0</v>
      </c>
      <c r="H70" s="87">
        <v>0</v>
      </c>
      <c r="I70" s="87">
        <v>0</v>
      </c>
      <c r="J70" s="87">
        <v>401.62</v>
      </c>
      <c r="K70" s="87">
        <v>7000</v>
      </c>
      <c r="L70" s="141">
        <v>0</v>
      </c>
      <c r="M70" s="201">
        <v>200</v>
      </c>
      <c r="N70" s="87">
        <v>0</v>
      </c>
      <c r="O70" s="94">
        <v>0</v>
      </c>
      <c r="P70" s="133"/>
      <c r="Q70" s="133"/>
    </row>
    <row r="71" spans="1:17" s="134" customFormat="1" ht="42" customHeight="1" x14ac:dyDescent="0.3">
      <c r="A71" s="274"/>
      <c r="B71" s="275"/>
      <c r="C71" s="137" t="s">
        <v>24</v>
      </c>
      <c r="D71" s="87">
        <f t="shared" si="12"/>
        <v>1047876.28</v>
      </c>
      <c r="E71" s="87">
        <v>33809</v>
      </c>
      <c r="F71" s="87">
        <v>38430</v>
      </c>
      <c r="G71" s="87">
        <v>47882</v>
      </c>
      <c r="H71" s="87">
        <v>49214.13</v>
      </c>
      <c r="I71" s="87">
        <v>77371</v>
      </c>
      <c r="J71" s="87">
        <v>106785.08</v>
      </c>
      <c r="K71" s="87">
        <v>127223.2</v>
      </c>
      <c r="L71" s="141">
        <v>123307.67</v>
      </c>
      <c r="M71" s="201">
        <v>145185.20000000001</v>
      </c>
      <c r="N71" s="87">
        <f>69180+29600+45845+3616</f>
        <v>148241</v>
      </c>
      <c r="O71" s="94">
        <f>69180+29600+51648</f>
        <v>150428</v>
      </c>
      <c r="P71" s="133"/>
      <c r="Q71" s="133"/>
    </row>
    <row r="72" spans="1:17" s="134" customFormat="1" ht="44.25" customHeight="1" x14ac:dyDescent="0.3">
      <c r="A72" s="274"/>
      <c r="B72" s="275"/>
      <c r="C72" s="137" t="s">
        <v>22</v>
      </c>
      <c r="D72" s="87">
        <f t="shared" si="12"/>
        <v>0</v>
      </c>
      <c r="E72" s="87">
        <v>0</v>
      </c>
      <c r="F72" s="87">
        <v>0</v>
      </c>
      <c r="G72" s="87">
        <v>0</v>
      </c>
      <c r="H72" s="87">
        <v>0</v>
      </c>
      <c r="I72" s="87">
        <v>0</v>
      </c>
      <c r="J72" s="87">
        <v>0</v>
      </c>
      <c r="K72" s="87">
        <v>0</v>
      </c>
      <c r="L72" s="141">
        <v>0</v>
      </c>
      <c r="M72" s="201">
        <v>0</v>
      </c>
      <c r="N72" s="87">
        <v>0</v>
      </c>
      <c r="O72" s="94">
        <v>0</v>
      </c>
      <c r="P72" s="139"/>
      <c r="Q72" s="139"/>
    </row>
    <row r="73" spans="1:17" s="134" customFormat="1" ht="42" customHeight="1" x14ac:dyDescent="0.3">
      <c r="A73" s="274" t="s">
        <v>320</v>
      </c>
      <c r="B73" s="275" t="s">
        <v>242</v>
      </c>
      <c r="C73" s="135" t="s">
        <v>178</v>
      </c>
      <c r="D73" s="87">
        <f t="shared" si="12"/>
        <v>485885.0400000001</v>
      </c>
      <c r="E73" s="87">
        <f>E74+E75+E76+E77</f>
        <v>85217.7</v>
      </c>
      <c r="F73" s="87">
        <f t="shared" ref="F73:O73" si="21">F74+F75+F76+F77</f>
        <v>190063.3</v>
      </c>
      <c r="G73" s="87">
        <f t="shared" si="21"/>
        <v>119019</v>
      </c>
      <c r="H73" s="87">
        <f t="shared" si="21"/>
        <v>4242.3</v>
      </c>
      <c r="I73" s="87">
        <f t="shared" si="21"/>
        <v>13461.34</v>
      </c>
      <c r="J73" s="87">
        <f t="shared" si="21"/>
        <v>5750.5</v>
      </c>
      <c r="K73" s="87">
        <f t="shared" si="21"/>
        <v>11730.83</v>
      </c>
      <c r="L73" s="141">
        <f t="shared" si="21"/>
        <v>30864.58</v>
      </c>
      <c r="M73" s="141">
        <f t="shared" si="21"/>
        <v>23616.09</v>
      </c>
      <c r="N73" s="87">
        <f t="shared" si="21"/>
        <v>1919.4</v>
      </c>
      <c r="O73" s="93">
        <f t="shared" si="21"/>
        <v>0</v>
      </c>
      <c r="P73" s="133"/>
      <c r="Q73" s="133"/>
    </row>
    <row r="74" spans="1:17" s="134" customFormat="1" ht="38.25" customHeight="1" x14ac:dyDescent="0.3">
      <c r="A74" s="274"/>
      <c r="B74" s="275"/>
      <c r="C74" s="135" t="s">
        <v>6</v>
      </c>
      <c r="D74" s="87">
        <f t="shared" si="12"/>
        <v>0</v>
      </c>
      <c r="E74" s="87">
        <v>0</v>
      </c>
      <c r="F74" s="87">
        <v>0</v>
      </c>
      <c r="G74" s="87">
        <v>0</v>
      </c>
      <c r="H74" s="87">
        <v>0</v>
      </c>
      <c r="I74" s="87">
        <v>0</v>
      </c>
      <c r="J74" s="87">
        <v>0</v>
      </c>
      <c r="K74" s="87">
        <v>0</v>
      </c>
      <c r="L74" s="141">
        <v>0</v>
      </c>
      <c r="M74" s="201">
        <v>0</v>
      </c>
      <c r="N74" s="87">
        <v>0</v>
      </c>
      <c r="O74" s="94">
        <v>0</v>
      </c>
      <c r="P74" s="133"/>
      <c r="Q74" s="133"/>
    </row>
    <row r="75" spans="1:17" s="134" customFormat="1" ht="40.5" customHeight="1" x14ac:dyDescent="0.3">
      <c r="A75" s="274"/>
      <c r="B75" s="275"/>
      <c r="C75" s="137" t="s">
        <v>7</v>
      </c>
      <c r="D75" s="87">
        <f t="shared" si="12"/>
        <v>143912.24</v>
      </c>
      <c r="E75" s="87">
        <v>31863.7</v>
      </c>
      <c r="F75" s="87">
        <v>0</v>
      </c>
      <c r="G75" s="87">
        <v>64058.3</v>
      </c>
      <c r="H75" s="87">
        <v>1170</v>
      </c>
      <c r="I75" s="87">
        <v>2000</v>
      </c>
      <c r="J75" s="87">
        <v>2761.2</v>
      </c>
      <c r="K75" s="87">
        <f>6740-507.8</f>
        <v>6232.2</v>
      </c>
      <c r="L75" s="141">
        <v>22432.75</v>
      </c>
      <c r="M75" s="201">
        <v>11734.09</v>
      </c>
      <c r="N75" s="87">
        <v>1660</v>
      </c>
      <c r="O75" s="94">
        <v>0</v>
      </c>
      <c r="P75" s="133"/>
      <c r="Q75" s="133"/>
    </row>
    <row r="76" spans="1:17" s="134" customFormat="1" ht="89.25" customHeight="1" x14ac:dyDescent="0.3">
      <c r="A76" s="274"/>
      <c r="B76" s="275"/>
      <c r="C76" s="137" t="s">
        <v>24</v>
      </c>
      <c r="D76" s="87">
        <f t="shared" si="12"/>
        <v>338161.23000000004</v>
      </c>
      <c r="E76" s="87">
        <v>53354</v>
      </c>
      <c r="F76" s="87">
        <v>190063.3</v>
      </c>
      <c r="G76" s="87">
        <v>54960.7</v>
      </c>
      <c r="H76" s="87">
        <v>3072.3</v>
      </c>
      <c r="I76" s="87">
        <v>7649.77</v>
      </c>
      <c r="J76" s="87">
        <v>2989.3</v>
      </c>
      <c r="K76" s="87">
        <v>5498.63</v>
      </c>
      <c r="L76" s="141">
        <v>8431.83</v>
      </c>
      <c r="M76" s="201">
        <v>11882</v>
      </c>
      <c r="N76" s="87">
        <v>259.39999999999998</v>
      </c>
      <c r="O76" s="94">
        <v>0</v>
      </c>
      <c r="P76" s="133"/>
      <c r="Q76" s="133"/>
    </row>
    <row r="77" spans="1:17" s="134" customFormat="1" ht="55.5" customHeight="1" x14ac:dyDescent="0.3">
      <c r="A77" s="274"/>
      <c r="B77" s="275"/>
      <c r="C77" s="137" t="s">
        <v>22</v>
      </c>
      <c r="D77" s="87">
        <f t="shared" si="12"/>
        <v>3811.57</v>
      </c>
      <c r="E77" s="87">
        <v>0</v>
      </c>
      <c r="F77" s="87">
        <v>0</v>
      </c>
      <c r="G77" s="87">
        <v>0</v>
      </c>
      <c r="H77" s="87">
        <v>0</v>
      </c>
      <c r="I77" s="87">
        <v>3811.57</v>
      </c>
      <c r="J77" s="87">
        <v>0</v>
      </c>
      <c r="K77" s="87">
        <v>0</v>
      </c>
      <c r="L77" s="141">
        <v>0</v>
      </c>
      <c r="M77" s="201">
        <v>0</v>
      </c>
      <c r="N77" s="87">
        <v>0</v>
      </c>
      <c r="O77" s="94">
        <v>0</v>
      </c>
      <c r="P77" s="133"/>
      <c r="Q77" s="133"/>
    </row>
    <row r="78" spans="1:17" s="134" customFormat="1" ht="38.25" customHeight="1" x14ac:dyDescent="0.3">
      <c r="A78" s="269" t="s">
        <v>11</v>
      </c>
      <c r="B78" s="266" t="s">
        <v>148</v>
      </c>
      <c r="C78" s="135" t="s">
        <v>178</v>
      </c>
      <c r="D78" s="87">
        <f t="shared" si="12"/>
        <v>815623.15</v>
      </c>
      <c r="E78" s="87">
        <f t="shared" ref="E78:O78" si="22">E79+E80+E81+E82</f>
        <v>22337.1</v>
      </c>
      <c r="F78" s="87">
        <f t="shared" si="22"/>
        <v>23270</v>
      </c>
      <c r="G78" s="87">
        <f t="shared" si="22"/>
        <v>22585.31</v>
      </c>
      <c r="H78" s="87">
        <f t="shared" si="22"/>
        <v>15108.1</v>
      </c>
      <c r="I78" s="87">
        <f t="shared" si="22"/>
        <v>14888.529999999999</v>
      </c>
      <c r="J78" s="87">
        <f t="shared" si="22"/>
        <v>19158.099999999999</v>
      </c>
      <c r="K78" s="87">
        <f t="shared" si="22"/>
        <v>17033.02</v>
      </c>
      <c r="L78" s="141">
        <f t="shared" si="22"/>
        <v>21704.699999999997</v>
      </c>
      <c r="M78" s="141">
        <f t="shared" si="22"/>
        <v>131314.19</v>
      </c>
      <c r="N78" s="87">
        <f t="shared" si="22"/>
        <v>317200.69999999995</v>
      </c>
      <c r="O78" s="93">
        <f t="shared" si="22"/>
        <v>211023.4</v>
      </c>
    </row>
    <row r="79" spans="1:17" s="134" customFormat="1" ht="40.5" customHeight="1" x14ac:dyDescent="0.3">
      <c r="A79" s="270"/>
      <c r="B79" s="267"/>
      <c r="C79" s="135" t="s">
        <v>6</v>
      </c>
      <c r="D79" s="87">
        <f t="shared" si="12"/>
        <v>179895.5</v>
      </c>
      <c r="E79" s="87">
        <f t="shared" ref="E79:O79" si="23">E84+E89+E94+E99+E104+E109</f>
        <v>0</v>
      </c>
      <c r="F79" s="87">
        <f t="shared" si="23"/>
        <v>0</v>
      </c>
      <c r="G79" s="87">
        <v>0</v>
      </c>
      <c r="H79" s="87">
        <f t="shared" si="23"/>
        <v>0</v>
      </c>
      <c r="I79" s="87">
        <f t="shared" si="23"/>
        <v>0</v>
      </c>
      <c r="J79" s="87">
        <f t="shared" si="23"/>
        <v>0</v>
      </c>
      <c r="K79" s="87">
        <f t="shared" si="23"/>
        <v>0</v>
      </c>
      <c r="L79" s="141">
        <f t="shared" si="23"/>
        <v>0</v>
      </c>
      <c r="M79" s="141">
        <f t="shared" si="23"/>
        <v>71958.100000000006</v>
      </c>
      <c r="N79" s="87">
        <f t="shared" si="23"/>
        <v>107937.4</v>
      </c>
      <c r="O79" s="87">
        <f t="shared" si="23"/>
        <v>0</v>
      </c>
    </row>
    <row r="80" spans="1:17" s="134" customFormat="1" ht="36" customHeight="1" x14ac:dyDescent="0.3">
      <c r="A80" s="270"/>
      <c r="B80" s="267"/>
      <c r="C80" s="137" t="s">
        <v>7</v>
      </c>
      <c r="D80" s="87">
        <f t="shared" si="12"/>
        <v>331248.95999999996</v>
      </c>
      <c r="E80" s="87">
        <f t="shared" ref="E80:O80" si="24">E85+E90+E95+E100+E105+E111</f>
        <v>0</v>
      </c>
      <c r="F80" s="87">
        <f t="shared" si="24"/>
        <v>0</v>
      </c>
      <c r="G80" s="87">
        <v>0</v>
      </c>
      <c r="H80" s="87">
        <f t="shared" si="24"/>
        <v>0</v>
      </c>
      <c r="I80" s="87">
        <f t="shared" si="24"/>
        <v>0</v>
      </c>
      <c r="J80" s="87">
        <f t="shared" si="24"/>
        <v>2391.9</v>
      </c>
      <c r="K80" s="87">
        <f t="shared" si="24"/>
        <v>2943.8</v>
      </c>
      <c r="L80" s="141">
        <f t="shared" si="24"/>
        <v>1782.46</v>
      </c>
      <c r="M80" s="141">
        <f t="shared" si="24"/>
        <v>18714.099999999999</v>
      </c>
      <c r="N80" s="87">
        <f t="shared" si="24"/>
        <v>131494.29999999999</v>
      </c>
      <c r="O80" s="87">
        <f t="shared" si="24"/>
        <v>173922.4</v>
      </c>
    </row>
    <row r="81" spans="1:17" s="134" customFormat="1" ht="38.25" customHeight="1" x14ac:dyDescent="0.3">
      <c r="A81" s="270"/>
      <c r="B81" s="267"/>
      <c r="C81" s="137" t="s">
        <v>24</v>
      </c>
      <c r="D81" s="87">
        <f t="shared" si="12"/>
        <v>149227.07</v>
      </c>
      <c r="E81" s="87">
        <f t="shared" ref="E81:O82" si="25">E86+E91+E96+E101+E106+E111</f>
        <v>3160</v>
      </c>
      <c r="F81" s="87">
        <f t="shared" si="25"/>
        <v>4064.4</v>
      </c>
      <c r="G81" s="87">
        <f>G86+G91+G96</f>
        <v>4578.8</v>
      </c>
      <c r="H81" s="87">
        <f t="shared" si="25"/>
        <v>3458.1</v>
      </c>
      <c r="I81" s="87">
        <f t="shared" si="25"/>
        <v>2908.2400000000002</v>
      </c>
      <c r="J81" s="87">
        <f t="shared" si="25"/>
        <v>3378.7</v>
      </c>
      <c r="K81" s="87">
        <f t="shared" si="25"/>
        <v>3977.9</v>
      </c>
      <c r="L81" s="141">
        <f>L86+L91+L96+L101+L106+L111</f>
        <v>5940.94</v>
      </c>
      <c r="M81" s="141">
        <f>M86+M91+M96+M101+M106+M111</f>
        <v>26089.989999999998</v>
      </c>
      <c r="N81" s="87">
        <f t="shared" si="25"/>
        <v>66169</v>
      </c>
      <c r="O81" s="87">
        <f t="shared" si="25"/>
        <v>25501</v>
      </c>
    </row>
    <row r="82" spans="1:17" s="134" customFormat="1" ht="44.25" customHeight="1" x14ac:dyDescent="0.3">
      <c r="A82" s="271"/>
      <c r="B82" s="268"/>
      <c r="C82" s="137" t="s">
        <v>22</v>
      </c>
      <c r="D82" s="87">
        <f t="shared" si="12"/>
        <v>155251.62</v>
      </c>
      <c r="E82" s="87">
        <f t="shared" si="25"/>
        <v>19177.099999999999</v>
      </c>
      <c r="F82" s="87">
        <f>F87+F92+F97+F102+F107+F112</f>
        <v>19205.599999999999</v>
      </c>
      <c r="G82" s="87">
        <f>G102+G107+G112</f>
        <v>18006.510000000002</v>
      </c>
      <c r="H82" s="87">
        <f t="shared" si="25"/>
        <v>11650</v>
      </c>
      <c r="I82" s="87">
        <f t="shared" si="25"/>
        <v>11980.289999999999</v>
      </c>
      <c r="J82" s="87">
        <f t="shared" si="25"/>
        <v>13387.5</v>
      </c>
      <c r="K82" s="87">
        <f t="shared" si="25"/>
        <v>10111.32</v>
      </c>
      <c r="L82" s="141">
        <f t="shared" si="25"/>
        <v>13981.3</v>
      </c>
      <c r="M82" s="141">
        <f t="shared" si="25"/>
        <v>14552</v>
      </c>
      <c r="N82" s="87">
        <f t="shared" si="25"/>
        <v>11600</v>
      </c>
      <c r="O82" s="87">
        <f t="shared" si="25"/>
        <v>11600</v>
      </c>
    </row>
    <row r="83" spans="1:17" s="134" customFormat="1" ht="31.5" customHeight="1" x14ac:dyDescent="0.3">
      <c r="A83" s="274" t="s">
        <v>321</v>
      </c>
      <c r="B83" s="275" t="s">
        <v>243</v>
      </c>
      <c r="C83" s="135" t="s">
        <v>178</v>
      </c>
      <c r="D83" s="87">
        <f t="shared" si="12"/>
        <v>711.66</v>
      </c>
      <c r="E83" s="87">
        <v>115</v>
      </c>
      <c r="F83" s="87">
        <f t="shared" ref="F83:O83" si="26">F84+F85+F86+F87</f>
        <v>0</v>
      </c>
      <c r="G83" s="87">
        <f>G86</f>
        <v>0</v>
      </c>
      <c r="H83" s="87">
        <f t="shared" si="26"/>
        <v>0</v>
      </c>
      <c r="I83" s="87">
        <f t="shared" si="26"/>
        <v>133.27000000000001</v>
      </c>
      <c r="J83" s="87">
        <f t="shared" si="26"/>
        <v>203.36</v>
      </c>
      <c r="K83" s="87">
        <f t="shared" si="26"/>
        <v>104</v>
      </c>
      <c r="L83" s="141">
        <f t="shared" si="26"/>
        <v>156.03</v>
      </c>
      <c r="M83" s="141">
        <f t="shared" si="26"/>
        <v>0</v>
      </c>
      <c r="N83" s="87">
        <f t="shared" si="26"/>
        <v>0</v>
      </c>
      <c r="O83" s="93">
        <f t="shared" si="26"/>
        <v>0</v>
      </c>
    </row>
    <row r="84" spans="1:17" s="134" customFormat="1" ht="40.5" customHeight="1" x14ac:dyDescent="0.3">
      <c r="A84" s="274"/>
      <c r="B84" s="275"/>
      <c r="C84" s="135" t="s">
        <v>6</v>
      </c>
      <c r="D84" s="87">
        <f t="shared" si="12"/>
        <v>0</v>
      </c>
      <c r="E84" s="87">
        <v>0</v>
      </c>
      <c r="F84" s="87">
        <v>0</v>
      </c>
      <c r="G84" s="87">
        <v>0</v>
      </c>
      <c r="H84" s="87">
        <v>0</v>
      </c>
      <c r="I84" s="87">
        <v>0</v>
      </c>
      <c r="J84" s="87">
        <v>0</v>
      </c>
      <c r="K84" s="87">
        <v>0</v>
      </c>
      <c r="L84" s="141">
        <v>0</v>
      </c>
      <c r="M84" s="201">
        <v>0</v>
      </c>
      <c r="N84" s="87">
        <v>0</v>
      </c>
      <c r="O84" s="94">
        <v>0</v>
      </c>
    </row>
    <row r="85" spans="1:17" s="134" customFormat="1" ht="33" customHeight="1" x14ac:dyDescent="0.3">
      <c r="A85" s="274"/>
      <c r="B85" s="275"/>
      <c r="C85" s="137" t="s">
        <v>7</v>
      </c>
      <c r="D85" s="87">
        <f t="shared" si="12"/>
        <v>0</v>
      </c>
      <c r="E85" s="87">
        <v>0</v>
      </c>
      <c r="F85" s="87">
        <v>0</v>
      </c>
      <c r="G85" s="87">
        <v>0</v>
      </c>
      <c r="H85" s="87">
        <v>0</v>
      </c>
      <c r="I85" s="87">
        <v>0</v>
      </c>
      <c r="J85" s="87">
        <v>0</v>
      </c>
      <c r="K85" s="87">
        <v>0</v>
      </c>
      <c r="L85" s="141">
        <v>0</v>
      </c>
      <c r="M85" s="201">
        <v>0</v>
      </c>
      <c r="N85" s="87">
        <v>0</v>
      </c>
      <c r="O85" s="94">
        <v>0</v>
      </c>
    </row>
    <row r="86" spans="1:17" s="134" customFormat="1" ht="42.75" customHeight="1" x14ac:dyDescent="0.3">
      <c r="A86" s="274"/>
      <c r="B86" s="275"/>
      <c r="C86" s="137" t="s">
        <v>24</v>
      </c>
      <c r="D86" s="87">
        <f t="shared" si="12"/>
        <v>711.66</v>
      </c>
      <c r="E86" s="87">
        <v>115</v>
      </c>
      <c r="F86" s="87">
        <v>0</v>
      </c>
      <c r="G86" s="87">
        <v>0</v>
      </c>
      <c r="H86" s="87">
        <v>0</v>
      </c>
      <c r="I86" s="87">
        <v>133.27000000000001</v>
      </c>
      <c r="J86" s="87">
        <v>203.36</v>
      </c>
      <c r="K86" s="87">
        <v>104</v>
      </c>
      <c r="L86" s="141">
        <v>156.03</v>
      </c>
      <c r="M86" s="201">
        <v>0</v>
      </c>
      <c r="N86" s="87">
        <v>0</v>
      </c>
      <c r="O86" s="94">
        <v>0</v>
      </c>
    </row>
    <row r="87" spans="1:17" s="134" customFormat="1" ht="48" customHeight="1" x14ac:dyDescent="0.3">
      <c r="A87" s="274"/>
      <c r="B87" s="275"/>
      <c r="C87" s="137" t="s">
        <v>22</v>
      </c>
      <c r="D87" s="87">
        <f t="shared" si="12"/>
        <v>0</v>
      </c>
      <c r="E87" s="87">
        <v>0</v>
      </c>
      <c r="F87" s="87">
        <v>0</v>
      </c>
      <c r="G87" s="87">
        <v>0</v>
      </c>
      <c r="H87" s="87">
        <v>0</v>
      </c>
      <c r="I87" s="87">
        <v>0</v>
      </c>
      <c r="J87" s="87">
        <v>0</v>
      </c>
      <c r="K87" s="87">
        <v>0</v>
      </c>
      <c r="L87" s="141">
        <v>0</v>
      </c>
      <c r="M87" s="201">
        <v>0</v>
      </c>
      <c r="N87" s="87">
        <v>0</v>
      </c>
      <c r="O87" s="94">
        <v>0</v>
      </c>
    </row>
    <row r="88" spans="1:17" s="134" customFormat="1" ht="27.75" customHeight="1" x14ac:dyDescent="0.3">
      <c r="A88" s="274" t="s">
        <v>322</v>
      </c>
      <c r="B88" s="275" t="s">
        <v>333</v>
      </c>
      <c r="C88" s="135" t="s">
        <v>178</v>
      </c>
      <c r="D88" s="87">
        <f t="shared" ref="D88:D151" si="27">E88+F88+G88+H88+I88+J88+K88+L88+M88+N88+O88</f>
        <v>659544.97</v>
      </c>
      <c r="E88" s="87">
        <f>SUM(E89:E92)</f>
        <v>3809</v>
      </c>
      <c r="F88" s="87">
        <f t="shared" ref="F88:O88" si="28">F89+F90+F91+F92</f>
        <v>4064.4</v>
      </c>
      <c r="G88" s="87">
        <f>G91</f>
        <v>4495.8</v>
      </c>
      <c r="H88" s="87">
        <f t="shared" si="28"/>
        <v>3458.1</v>
      </c>
      <c r="I88" s="87">
        <f t="shared" si="28"/>
        <v>2434.63</v>
      </c>
      <c r="J88" s="87">
        <f t="shared" si="28"/>
        <v>5469.12</v>
      </c>
      <c r="K88" s="87">
        <f t="shared" si="28"/>
        <v>6734.7000000000007</v>
      </c>
      <c r="L88" s="141">
        <f t="shared" si="28"/>
        <v>7490.41</v>
      </c>
      <c r="M88" s="141">
        <f t="shared" si="28"/>
        <v>116643.71</v>
      </c>
      <c r="N88" s="87">
        <f t="shared" si="28"/>
        <v>305521.69999999995</v>
      </c>
      <c r="O88" s="93">
        <f t="shared" si="28"/>
        <v>199423.4</v>
      </c>
    </row>
    <row r="89" spans="1:17" s="134" customFormat="1" ht="47.25" customHeight="1" x14ac:dyDescent="0.3">
      <c r="A89" s="274"/>
      <c r="B89" s="275"/>
      <c r="C89" s="135" t="s">
        <v>6</v>
      </c>
      <c r="D89" s="87">
        <f t="shared" si="27"/>
        <v>179895.5</v>
      </c>
      <c r="E89" s="87">
        <v>0</v>
      </c>
      <c r="F89" s="87">
        <v>0</v>
      </c>
      <c r="G89" s="87">
        <v>0</v>
      </c>
      <c r="H89" s="87">
        <v>0</v>
      </c>
      <c r="I89" s="87">
        <v>0</v>
      </c>
      <c r="J89" s="87">
        <v>0</v>
      </c>
      <c r="K89" s="87">
        <v>0</v>
      </c>
      <c r="L89" s="141">
        <v>0</v>
      </c>
      <c r="M89" s="201">
        <v>71958.100000000006</v>
      </c>
      <c r="N89" s="87">
        <v>107937.4</v>
      </c>
      <c r="O89" s="94">
        <v>0</v>
      </c>
    </row>
    <row r="90" spans="1:17" s="134" customFormat="1" ht="56.25" customHeight="1" x14ac:dyDescent="0.3">
      <c r="A90" s="274"/>
      <c r="B90" s="275"/>
      <c r="C90" s="137" t="s">
        <v>7</v>
      </c>
      <c r="D90" s="87">
        <f t="shared" si="27"/>
        <v>331248.95999999996</v>
      </c>
      <c r="E90" s="87">
        <v>0</v>
      </c>
      <c r="F90" s="87">
        <v>0</v>
      </c>
      <c r="G90" s="87">
        <v>0</v>
      </c>
      <c r="H90" s="87">
        <v>0</v>
      </c>
      <c r="I90" s="87">
        <v>0</v>
      </c>
      <c r="J90" s="87">
        <v>2391.9</v>
      </c>
      <c r="K90" s="87">
        <v>2943.8</v>
      </c>
      <c r="L90" s="141">
        <v>1782.46</v>
      </c>
      <c r="M90" s="201">
        <v>18714.099999999999</v>
      </c>
      <c r="N90" s="87">
        <f>113923+17571.3</f>
        <v>131494.29999999999</v>
      </c>
      <c r="O90" s="94">
        <f>173922.4</f>
        <v>173922.4</v>
      </c>
    </row>
    <row r="91" spans="1:17" s="134" customFormat="1" ht="66.75" customHeight="1" x14ac:dyDescent="0.3">
      <c r="A91" s="274"/>
      <c r="B91" s="275"/>
      <c r="C91" s="137" t="s">
        <v>24</v>
      </c>
      <c r="D91" s="87">
        <f t="shared" si="27"/>
        <v>147636.51</v>
      </c>
      <c r="E91" s="87">
        <v>3045</v>
      </c>
      <c r="F91" s="87">
        <v>4064.4</v>
      </c>
      <c r="G91" s="87">
        <v>4495.8</v>
      </c>
      <c r="H91" s="87">
        <v>3458.1</v>
      </c>
      <c r="I91" s="87">
        <v>2434.63</v>
      </c>
      <c r="J91" s="87">
        <v>3077.22</v>
      </c>
      <c r="K91" s="87">
        <v>3790.9</v>
      </c>
      <c r="L91" s="141">
        <v>5707.95</v>
      </c>
      <c r="M91" s="201">
        <v>25971.51</v>
      </c>
      <c r="N91" s="87">
        <f>23060+84-79+14950+980+413+694+662+25326</f>
        <v>66090</v>
      </c>
      <c r="O91" s="94">
        <f>22379+289+84+980+413+694+662</f>
        <v>25501</v>
      </c>
      <c r="P91" s="134">
        <v>174.14</v>
      </c>
      <c r="Q91" s="177">
        <f>('3 бюджет'!M37+'3 бюджет'!M35+'3 бюджет'!M43+'3 бюджет'!M40+'3 бюджет'!M39+'3 бюджет'!M38)-118.48</f>
        <v>25971.51</v>
      </c>
    </row>
    <row r="92" spans="1:17" s="134" customFormat="1" ht="72.75" customHeight="1" x14ac:dyDescent="0.3">
      <c r="A92" s="274"/>
      <c r="B92" s="275"/>
      <c r="C92" s="137" t="s">
        <v>22</v>
      </c>
      <c r="D92" s="87">
        <f t="shared" si="27"/>
        <v>764</v>
      </c>
      <c r="E92" s="87">
        <v>764</v>
      </c>
      <c r="F92" s="87">
        <v>0</v>
      </c>
      <c r="G92" s="87">
        <v>0</v>
      </c>
      <c r="H92" s="87">
        <v>0</v>
      </c>
      <c r="I92" s="87">
        <v>0</v>
      </c>
      <c r="J92" s="87">
        <v>0</v>
      </c>
      <c r="K92" s="87">
        <v>0</v>
      </c>
      <c r="L92" s="141">
        <v>0</v>
      </c>
      <c r="M92" s="201">
        <v>0</v>
      </c>
      <c r="N92" s="87">
        <v>0</v>
      </c>
      <c r="O92" s="94">
        <v>0</v>
      </c>
    </row>
    <row r="93" spans="1:17" s="134" customFormat="1" ht="26.25" customHeight="1" x14ac:dyDescent="0.3">
      <c r="A93" s="274" t="s">
        <v>323</v>
      </c>
      <c r="B93" s="275" t="s">
        <v>43</v>
      </c>
      <c r="C93" s="135" t="s">
        <v>178</v>
      </c>
      <c r="D93" s="87">
        <f t="shared" si="27"/>
        <v>878.90000000000009</v>
      </c>
      <c r="E93" s="87">
        <f>E94+E95+E96+E97</f>
        <v>0</v>
      </c>
      <c r="F93" s="87">
        <f t="shared" ref="F93:O93" si="29">F94+F95+F96+F97</f>
        <v>0</v>
      </c>
      <c r="G93" s="87">
        <v>83</v>
      </c>
      <c r="H93" s="87">
        <f t="shared" si="29"/>
        <v>0</v>
      </c>
      <c r="I93" s="87">
        <f t="shared" si="29"/>
        <v>340.34</v>
      </c>
      <c r="J93" s="87">
        <f t="shared" si="29"/>
        <v>98.12</v>
      </c>
      <c r="K93" s="87">
        <f>K96</f>
        <v>83</v>
      </c>
      <c r="L93" s="141">
        <f t="shared" si="29"/>
        <v>76.959999999999994</v>
      </c>
      <c r="M93" s="141">
        <f t="shared" si="29"/>
        <v>118.48</v>
      </c>
      <c r="N93" s="87">
        <f t="shared" si="29"/>
        <v>79</v>
      </c>
      <c r="O93" s="93">
        <f t="shared" si="29"/>
        <v>0</v>
      </c>
    </row>
    <row r="94" spans="1:17" s="134" customFormat="1" ht="63" customHeight="1" x14ac:dyDescent="0.3">
      <c r="A94" s="274"/>
      <c r="B94" s="275"/>
      <c r="C94" s="135" t="s">
        <v>6</v>
      </c>
      <c r="D94" s="87">
        <f t="shared" si="27"/>
        <v>0</v>
      </c>
      <c r="E94" s="87">
        <v>0</v>
      </c>
      <c r="F94" s="87">
        <v>0</v>
      </c>
      <c r="G94" s="87">
        <v>0</v>
      </c>
      <c r="H94" s="87">
        <v>0</v>
      </c>
      <c r="I94" s="87">
        <v>0</v>
      </c>
      <c r="J94" s="87">
        <v>0</v>
      </c>
      <c r="K94" s="87">
        <v>0</v>
      </c>
      <c r="L94" s="141">
        <v>0</v>
      </c>
      <c r="M94" s="201">
        <v>0</v>
      </c>
      <c r="N94" s="87">
        <v>0</v>
      </c>
      <c r="O94" s="94">
        <v>0</v>
      </c>
    </row>
    <row r="95" spans="1:17" s="134" customFormat="1" ht="51.75" customHeight="1" x14ac:dyDescent="0.3">
      <c r="A95" s="274"/>
      <c r="B95" s="275"/>
      <c r="C95" s="137" t="s">
        <v>7</v>
      </c>
      <c r="D95" s="87">
        <f t="shared" si="27"/>
        <v>0</v>
      </c>
      <c r="E95" s="87">
        <v>0</v>
      </c>
      <c r="F95" s="87">
        <v>0</v>
      </c>
      <c r="G95" s="87">
        <v>0</v>
      </c>
      <c r="H95" s="87">
        <v>0</v>
      </c>
      <c r="I95" s="87">
        <v>0</v>
      </c>
      <c r="J95" s="87">
        <v>0</v>
      </c>
      <c r="K95" s="87">
        <v>0</v>
      </c>
      <c r="L95" s="141">
        <v>0</v>
      </c>
      <c r="M95" s="201">
        <v>0</v>
      </c>
      <c r="N95" s="87">
        <v>0</v>
      </c>
      <c r="O95" s="94">
        <v>0</v>
      </c>
    </row>
    <row r="96" spans="1:17" s="134" customFormat="1" ht="74.25" customHeight="1" x14ac:dyDescent="0.3">
      <c r="A96" s="274"/>
      <c r="B96" s="275"/>
      <c r="C96" s="137" t="s">
        <v>24</v>
      </c>
      <c r="D96" s="87">
        <f t="shared" si="27"/>
        <v>878.90000000000009</v>
      </c>
      <c r="E96" s="87">
        <v>0</v>
      </c>
      <c r="F96" s="87">
        <v>0</v>
      </c>
      <c r="G96" s="87">
        <v>83</v>
      </c>
      <c r="H96" s="87">
        <v>0</v>
      </c>
      <c r="I96" s="87">
        <v>340.34</v>
      </c>
      <c r="J96" s="87">
        <v>98.12</v>
      </c>
      <c r="K96" s="87">
        <v>83</v>
      </c>
      <c r="L96" s="141">
        <v>76.959999999999994</v>
      </c>
      <c r="M96" s="201">
        <v>118.48</v>
      </c>
      <c r="N96" s="87">
        <v>79</v>
      </c>
      <c r="O96" s="94">
        <v>0</v>
      </c>
    </row>
    <row r="97" spans="1:15" s="134" customFormat="1" ht="57.75" customHeight="1" x14ac:dyDescent="0.3">
      <c r="A97" s="274"/>
      <c r="B97" s="275"/>
      <c r="C97" s="137" t="s">
        <v>22</v>
      </c>
      <c r="D97" s="87">
        <f t="shared" si="27"/>
        <v>0</v>
      </c>
      <c r="E97" s="87">
        <v>0</v>
      </c>
      <c r="F97" s="87">
        <v>0</v>
      </c>
      <c r="G97" s="87">
        <v>0</v>
      </c>
      <c r="H97" s="87">
        <v>0</v>
      </c>
      <c r="I97" s="87">
        <v>0</v>
      </c>
      <c r="J97" s="87">
        <v>0</v>
      </c>
      <c r="K97" s="87">
        <v>0</v>
      </c>
      <c r="L97" s="141">
        <v>0</v>
      </c>
      <c r="M97" s="201">
        <v>0</v>
      </c>
      <c r="N97" s="87">
        <v>0</v>
      </c>
      <c r="O97" s="94">
        <v>0</v>
      </c>
    </row>
    <row r="98" spans="1:15" s="134" customFormat="1" ht="44.25" customHeight="1" x14ac:dyDescent="0.3">
      <c r="A98" s="274" t="s">
        <v>324</v>
      </c>
      <c r="B98" s="275" t="s">
        <v>40</v>
      </c>
      <c r="C98" s="135" t="s">
        <v>178</v>
      </c>
      <c r="D98" s="87">
        <f t="shared" si="27"/>
        <v>131578.35999999999</v>
      </c>
      <c r="E98" s="87">
        <f>E99+E100+E101+E102</f>
        <v>15066</v>
      </c>
      <c r="F98" s="87">
        <f t="shared" ref="F98" si="30">F99+F100+F101+F102</f>
        <v>16000</v>
      </c>
      <c r="G98" s="87">
        <f>G102</f>
        <v>15837.36</v>
      </c>
      <c r="H98" s="87">
        <f t="shared" ref="H98:O98" si="31">H102</f>
        <v>10000</v>
      </c>
      <c r="I98" s="87">
        <f t="shared" si="31"/>
        <v>10000</v>
      </c>
      <c r="J98" s="87">
        <f t="shared" si="31"/>
        <v>11200</v>
      </c>
      <c r="K98" s="87">
        <f t="shared" si="31"/>
        <v>9775</v>
      </c>
      <c r="L98" s="141">
        <f t="shared" si="31"/>
        <v>11700</v>
      </c>
      <c r="M98" s="141">
        <f t="shared" si="31"/>
        <v>12000</v>
      </c>
      <c r="N98" s="87">
        <f t="shared" si="31"/>
        <v>10000</v>
      </c>
      <c r="O98" s="93">
        <f t="shared" si="31"/>
        <v>10000</v>
      </c>
    </row>
    <row r="99" spans="1:15" s="134" customFormat="1" ht="44.25" customHeight="1" x14ac:dyDescent="0.3">
      <c r="A99" s="274"/>
      <c r="B99" s="275"/>
      <c r="C99" s="135" t="s">
        <v>6</v>
      </c>
      <c r="D99" s="87">
        <f t="shared" si="27"/>
        <v>0</v>
      </c>
      <c r="E99" s="87">
        <v>0</v>
      </c>
      <c r="F99" s="87">
        <v>0</v>
      </c>
      <c r="G99" s="87">
        <v>0</v>
      </c>
      <c r="H99" s="87">
        <v>0</v>
      </c>
      <c r="I99" s="87">
        <v>0</v>
      </c>
      <c r="J99" s="87">
        <v>0</v>
      </c>
      <c r="K99" s="87">
        <v>0</v>
      </c>
      <c r="L99" s="141">
        <v>0</v>
      </c>
      <c r="M99" s="201">
        <v>0</v>
      </c>
      <c r="N99" s="87">
        <v>0</v>
      </c>
      <c r="O99" s="94">
        <v>0</v>
      </c>
    </row>
    <row r="100" spans="1:15" s="134" customFormat="1" ht="33.75" customHeight="1" x14ac:dyDescent="0.3">
      <c r="A100" s="274"/>
      <c r="B100" s="275"/>
      <c r="C100" s="137" t="s">
        <v>7</v>
      </c>
      <c r="D100" s="87">
        <f t="shared" si="27"/>
        <v>0</v>
      </c>
      <c r="E100" s="87">
        <v>0</v>
      </c>
      <c r="F100" s="87">
        <v>0</v>
      </c>
      <c r="G100" s="87">
        <v>0</v>
      </c>
      <c r="H100" s="87">
        <v>0</v>
      </c>
      <c r="I100" s="87">
        <v>0</v>
      </c>
      <c r="J100" s="87">
        <v>0</v>
      </c>
      <c r="K100" s="87">
        <v>0</v>
      </c>
      <c r="L100" s="141">
        <v>0</v>
      </c>
      <c r="M100" s="201">
        <v>0</v>
      </c>
      <c r="N100" s="87">
        <v>0</v>
      </c>
      <c r="O100" s="94">
        <v>0</v>
      </c>
    </row>
    <row r="101" spans="1:15" s="134" customFormat="1" ht="45" customHeight="1" x14ac:dyDescent="0.3">
      <c r="A101" s="274"/>
      <c r="B101" s="275"/>
      <c r="C101" s="137" t="s">
        <v>24</v>
      </c>
      <c r="D101" s="87">
        <f t="shared" si="27"/>
        <v>0</v>
      </c>
      <c r="E101" s="87">
        <v>0</v>
      </c>
      <c r="F101" s="87">
        <v>0</v>
      </c>
      <c r="G101" s="87">
        <v>0</v>
      </c>
      <c r="H101" s="87">
        <v>0</v>
      </c>
      <c r="I101" s="87">
        <v>0</v>
      </c>
      <c r="J101" s="87">
        <v>0</v>
      </c>
      <c r="K101" s="87">
        <v>0</v>
      </c>
      <c r="L101" s="141">
        <v>0</v>
      </c>
      <c r="M101" s="201">
        <v>0</v>
      </c>
      <c r="N101" s="87">
        <v>0</v>
      </c>
      <c r="O101" s="94">
        <v>0</v>
      </c>
    </row>
    <row r="102" spans="1:15" s="134" customFormat="1" ht="44.25" customHeight="1" x14ac:dyDescent="0.3">
      <c r="A102" s="274"/>
      <c r="B102" s="275"/>
      <c r="C102" s="137" t="s">
        <v>22</v>
      </c>
      <c r="D102" s="87">
        <f t="shared" si="27"/>
        <v>131578.35999999999</v>
      </c>
      <c r="E102" s="87">
        <v>15066</v>
      </c>
      <c r="F102" s="87">
        <v>16000</v>
      </c>
      <c r="G102" s="87">
        <v>15837.36</v>
      </c>
      <c r="H102" s="87">
        <v>10000</v>
      </c>
      <c r="I102" s="87">
        <v>10000</v>
      </c>
      <c r="J102" s="87">
        <v>11200</v>
      </c>
      <c r="K102" s="87">
        <v>9775</v>
      </c>
      <c r="L102" s="141">
        <v>11700</v>
      </c>
      <c r="M102" s="201">
        <v>12000</v>
      </c>
      <c r="N102" s="87">
        <v>10000</v>
      </c>
      <c r="O102" s="94">
        <v>10000</v>
      </c>
    </row>
    <row r="103" spans="1:15" s="134" customFormat="1" ht="34.5" customHeight="1" x14ac:dyDescent="0.3">
      <c r="A103" s="274" t="s">
        <v>325</v>
      </c>
      <c r="B103" s="275" t="s">
        <v>31</v>
      </c>
      <c r="C103" s="135" t="s">
        <v>178</v>
      </c>
      <c r="D103" s="87">
        <f t="shared" si="27"/>
        <v>15560.749999999998</v>
      </c>
      <c r="E103" s="140">
        <f>E104+E105+E106+E107</f>
        <v>2597.1</v>
      </c>
      <c r="F103" s="88">
        <f t="shared" ref="F103" si="32">F104+F105+F106+F107</f>
        <v>2192.6</v>
      </c>
      <c r="G103" s="88">
        <f>G107</f>
        <v>1527.24</v>
      </c>
      <c r="H103" s="88">
        <f t="shared" ref="H103:O103" si="33">H107</f>
        <v>950</v>
      </c>
      <c r="I103" s="88">
        <f t="shared" si="33"/>
        <v>1368.39</v>
      </c>
      <c r="J103" s="88">
        <f t="shared" si="33"/>
        <v>1478.8</v>
      </c>
      <c r="K103" s="88">
        <f t="shared" si="33"/>
        <v>226.32</v>
      </c>
      <c r="L103" s="192">
        <f t="shared" si="33"/>
        <v>1520.3</v>
      </c>
      <c r="M103" s="192">
        <f t="shared" si="33"/>
        <v>1700</v>
      </c>
      <c r="N103" s="88">
        <f t="shared" si="33"/>
        <v>1000</v>
      </c>
      <c r="O103" s="94">
        <f t="shared" si="33"/>
        <v>1000</v>
      </c>
    </row>
    <row r="104" spans="1:15" s="134" customFormat="1" ht="40.5" customHeight="1" x14ac:dyDescent="0.3">
      <c r="A104" s="274"/>
      <c r="B104" s="275"/>
      <c r="C104" s="135" t="s">
        <v>6</v>
      </c>
      <c r="D104" s="87">
        <f t="shared" si="27"/>
        <v>0</v>
      </c>
      <c r="E104" s="141">
        <v>0</v>
      </c>
      <c r="F104" s="87">
        <v>0</v>
      </c>
      <c r="G104" s="87">
        <v>0</v>
      </c>
      <c r="H104" s="88">
        <v>0</v>
      </c>
      <c r="I104" s="87">
        <v>0</v>
      </c>
      <c r="J104" s="87">
        <v>0</v>
      </c>
      <c r="K104" s="87">
        <v>0</v>
      </c>
      <c r="L104" s="141">
        <v>0</v>
      </c>
      <c r="M104" s="201">
        <v>0</v>
      </c>
      <c r="N104" s="87">
        <v>0</v>
      </c>
      <c r="O104" s="94">
        <v>0</v>
      </c>
    </row>
    <row r="105" spans="1:15" s="134" customFormat="1" ht="38.25" customHeight="1" x14ac:dyDescent="0.3">
      <c r="A105" s="274"/>
      <c r="B105" s="275"/>
      <c r="C105" s="137" t="s">
        <v>7</v>
      </c>
      <c r="D105" s="87">
        <f t="shared" si="27"/>
        <v>0</v>
      </c>
      <c r="E105" s="87">
        <v>0</v>
      </c>
      <c r="F105" s="87">
        <v>0</v>
      </c>
      <c r="G105" s="87">
        <v>0</v>
      </c>
      <c r="H105" s="87">
        <v>0</v>
      </c>
      <c r="I105" s="87">
        <v>0</v>
      </c>
      <c r="J105" s="87">
        <v>0</v>
      </c>
      <c r="K105" s="87">
        <v>0</v>
      </c>
      <c r="L105" s="141">
        <v>0</v>
      </c>
      <c r="M105" s="201">
        <v>0</v>
      </c>
      <c r="N105" s="87">
        <v>0</v>
      </c>
      <c r="O105" s="94">
        <v>0</v>
      </c>
    </row>
    <row r="106" spans="1:15" s="134" customFormat="1" ht="45" customHeight="1" x14ac:dyDescent="0.3">
      <c r="A106" s="274"/>
      <c r="B106" s="275"/>
      <c r="C106" s="137" t="s">
        <v>24</v>
      </c>
      <c r="D106" s="87">
        <f t="shared" si="27"/>
        <v>0</v>
      </c>
      <c r="E106" s="87">
        <v>0</v>
      </c>
      <c r="F106" s="87">
        <v>0</v>
      </c>
      <c r="G106" s="87">
        <v>0</v>
      </c>
      <c r="H106" s="87">
        <v>0</v>
      </c>
      <c r="I106" s="87">
        <v>0</v>
      </c>
      <c r="J106" s="87">
        <v>0</v>
      </c>
      <c r="K106" s="87">
        <v>0</v>
      </c>
      <c r="L106" s="141">
        <v>0</v>
      </c>
      <c r="M106" s="201">
        <v>0</v>
      </c>
      <c r="N106" s="87">
        <v>0</v>
      </c>
      <c r="O106" s="94">
        <v>0</v>
      </c>
    </row>
    <row r="107" spans="1:15" s="134" customFormat="1" ht="40.5" customHeight="1" x14ac:dyDescent="0.3">
      <c r="A107" s="274"/>
      <c r="B107" s="275"/>
      <c r="C107" s="137" t="s">
        <v>22</v>
      </c>
      <c r="D107" s="87">
        <f t="shared" si="27"/>
        <v>15560.749999999998</v>
      </c>
      <c r="E107" s="87">
        <v>2597.1</v>
      </c>
      <c r="F107" s="87">
        <v>2192.6</v>
      </c>
      <c r="G107" s="87">
        <v>1527.24</v>
      </c>
      <c r="H107" s="87">
        <v>950</v>
      </c>
      <c r="I107" s="87">
        <v>1368.39</v>
      </c>
      <c r="J107" s="87">
        <v>1478.8</v>
      </c>
      <c r="K107" s="87">
        <v>226.32</v>
      </c>
      <c r="L107" s="141">
        <v>1520.3</v>
      </c>
      <c r="M107" s="201">
        <v>1700</v>
      </c>
      <c r="N107" s="87">
        <v>1000</v>
      </c>
      <c r="O107" s="94">
        <v>1000</v>
      </c>
    </row>
    <row r="108" spans="1:15" s="134" customFormat="1" ht="36" customHeight="1" x14ac:dyDescent="0.3">
      <c r="A108" s="274" t="s">
        <v>326</v>
      </c>
      <c r="B108" s="275" t="s">
        <v>32</v>
      </c>
      <c r="C108" s="135" t="s">
        <v>178</v>
      </c>
      <c r="D108" s="87">
        <f t="shared" si="27"/>
        <v>7348.51</v>
      </c>
      <c r="E108" s="87">
        <f>E109+E110+E111+E112</f>
        <v>750</v>
      </c>
      <c r="F108" s="87">
        <f t="shared" ref="F108" si="34">F109+F110+F111+F112</f>
        <v>1013</v>
      </c>
      <c r="G108" s="87">
        <f>G112</f>
        <v>641.91</v>
      </c>
      <c r="H108" s="87">
        <f t="shared" ref="H108:O108" si="35">H112</f>
        <v>700</v>
      </c>
      <c r="I108" s="87">
        <f t="shared" si="35"/>
        <v>611.9</v>
      </c>
      <c r="J108" s="87">
        <f t="shared" si="35"/>
        <v>708.7</v>
      </c>
      <c r="K108" s="87">
        <f t="shared" si="35"/>
        <v>110</v>
      </c>
      <c r="L108" s="141">
        <f t="shared" si="35"/>
        <v>761</v>
      </c>
      <c r="M108" s="141">
        <f t="shared" si="35"/>
        <v>852</v>
      </c>
      <c r="N108" s="87">
        <f t="shared" si="35"/>
        <v>600</v>
      </c>
      <c r="O108" s="93">
        <f t="shared" si="35"/>
        <v>600</v>
      </c>
    </row>
    <row r="109" spans="1:15" s="134" customFormat="1" ht="49.5" customHeight="1" x14ac:dyDescent="0.3">
      <c r="A109" s="274"/>
      <c r="B109" s="275"/>
      <c r="C109" s="135" t="s">
        <v>6</v>
      </c>
      <c r="D109" s="87">
        <f t="shared" si="27"/>
        <v>0</v>
      </c>
      <c r="E109" s="87">
        <v>0</v>
      </c>
      <c r="F109" s="87">
        <v>0</v>
      </c>
      <c r="G109" s="87">
        <v>0</v>
      </c>
      <c r="H109" s="87">
        <v>0</v>
      </c>
      <c r="I109" s="87">
        <v>0</v>
      </c>
      <c r="J109" s="87">
        <v>0</v>
      </c>
      <c r="K109" s="87">
        <v>0</v>
      </c>
      <c r="L109" s="141">
        <v>0</v>
      </c>
      <c r="M109" s="201">
        <v>0</v>
      </c>
      <c r="N109" s="87">
        <v>0</v>
      </c>
      <c r="O109" s="94">
        <v>0</v>
      </c>
    </row>
    <row r="110" spans="1:15" s="134" customFormat="1" ht="36" customHeight="1" x14ac:dyDescent="0.3">
      <c r="A110" s="274"/>
      <c r="B110" s="275"/>
      <c r="C110" s="137" t="s">
        <v>7</v>
      </c>
      <c r="D110" s="87">
        <f t="shared" si="27"/>
        <v>0</v>
      </c>
      <c r="E110" s="87">
        <v>0</v>
      </c>
      <c r="F110" s="87">
        <v>0</v>
      </c>
      <c r="G110" s="87">
        <v>0</v>
      </c>
      <c r="H110" s="87">
        <v>0</v>
      </c>
      <c r="I110" s="87">
        <v>0</v>
      </c>
      <c r="J110" s="87">
        <v>0</v>
      </c>
      <c r="K110" s="87">
        <v>0</v>
      </c>
      <c r="L110" s="141">
        <v>0</v>
      </c>
      <c r="M110" s="201">
        <v>0</v>
      </c>
      <c r="N110" s="87">
        <v>0</v>
      </c>
      <c r="O110" s="94">
        <v>0</v>
      </c>
    </row>
    <row r="111" spans="1:15" s="134" customFormat="1" ht="51" customHeight="1" x14ac:dyDescent="0.3">
      <c r="A111" s="274"/>
      <c r="B111" s="275"/>
      <c r="C111" s="137" t="s">
        <v>24</v>
      </c>
      <c r="D111" s="87">
        <f t="shared" si="27"/>
        <v>0</v>
      </c>
      <c r="E111" s="87">
        <v>0</v>
      </c>
      <c r="F111" s="87">
        <v>0</v>
      </c>
      <c r="G111" s="87">
        <v>0</v>
      </c>
      <c r="H111" s="87">
        <v>0</v>
      </c>
      <c r="I111" s="87">
        <v>0</v>
      </c>
      <c r="J111" s="87">
        <v>0</v>
      </c>
      <c r="K111" s="87">
        <v>0</v>
      </c>
      <c r="L111" s="141">
        <v>0</v>
      </c>
      <c r="M111" s="201">
        <v>0</v>
      </c>
      <c r="N111" s="87">
        <v>0</v>
      </c>
      <c r="O111" s="94">
        <v>0</v>
      </c>
    </row>
    <row r="112" spans="1:15" s="134" customFormat="1" ht="42" customHeight="1" x14ac:dyDescent="0.3">
      <c r="A112" s="274"/>
      <c r="B112" s="275"/>
      <c r="C112" s="137" t="s">
        <v>22</v>
      </c>
      <c r="D112" s="87">
        <f t="shared" si="27"/>
        <v>7348.51</v>
      </c>
      <c r="E112" s="87">
        <v>750</v>
      </c>
      <c r="F112" s="87">
        <v>1013</v>
      </c>
      <c r="G112" s="87">
        <v>641.91</v>
      </c>
      <c r="H112" s="87">
        <v>700</v>
      </c>
      <c r="I112" s="87">
        <v>611.9</v>
      </c>
      <c r="J112" s="87">
        <v>708.7</v>
      </c>
      <c r="K112" s="87">
        <v>110</v>
      </c>
      <c r="L112" s="141">
        <v>761</v>
      </c>
      <c r="M112" s="201">
        <v>852</v>
      </c>
      <c r="N112" s="87">
        <v>600</v>
      </c>
      <c r="O112" s="94">
        <v>600</v>
      </c>
    </row>
    <row r="113" spans="1:16" s="134" customFormat="1" ht="41.25" customHeight="1" x14ac:dyDescent="0.3">
      <c r="A113" s="269" t="s">
        <v>29</v>
      </c>
      <c r="B113" s="266" t="s">
        <v>88</v>
      </c>
      <c r="C113" s="135" t="s">
        <v>178</v>
      </c>
      <c r="D113" s="87">
        <f t="shared" si="27"/>
        <v>102121.43000000001</v>
      </c>
      <c r="E113" s="87">
        <f>E114+E115+E116+E117</f>
        <v>2311</v>
      </c>
      <c r="F113" s="87">
        <f t="shared" ref="F113" si="36">F114+F115+F116+F117</f>
        <v>2006.2</v>
      </c>
      <c r="G113" s="87">
        <f>G116</f>
        <v>8463.8000000000011</v>
      </c>
      <c r="H113" s="87">
        <f t="shared" ref="H113:O113" si="37">H114+H115+H116+H117</f>
        <v>3213.8</v>
      </c>
      <c r="I113" s="87">
        <f t="shared" si="37"/>
        <v>7597.03</v>
      </c>
      <c r="J113" s="87">
        <f t="shared" si="37"/>
        <v>3208.54</v>
      </c>
      <c r="K113" s="87">
        <f t="shared" si="37"/>
        <v>3384.9</v>
      </c>
      <c r="L113" s="141">
        <f t="shared" si="37"/>
        <v>10120.36</v>
      </c>
      <c r="M113" s="141">
        <f t="shared" si="37"/>
        <v>21192.799999999999</v>
      </c>
      <c r="N113" s="87">
        <f t="shared" si="37"/>
        <v>20310</v>
      </c>
      <c r="O113" s="93">
        <f t="shared" si="37"/>
        <v>20313</v>
      </c>
    </row>
    <row r="114" spans="1:16" s="134" customFormat="1" ht="45.75" customHeight="1" x14ac:dyDescent="0.3">
      <c r="A114" s="270"/>
      <c r="B114" s="267"/>
      <c r="C114" s="135" t="s">
        <v>6</v>
      </c>
      <c r="D114" s="87">
        <f t="shared" si="27"/>
        <v>0</v>
      </c>
      <c r="E114" s="87">
        <f t="shared" ref="E114:K115" si="38">E119+E124+E129+E134+E144</f>
        <v>0</v>
      </c>
      <c r="F114" s="87">
        <f t="shared" si="38"/>
        <v>0</v>
      </c>
      <c r="G114" s="87">
        <v>0</v>
      </c>
      <c r="H114" s="87">
        <f t="shared" si="38"/>
        <v>0</v>
      </c>
      <c r="I114" s="87">
        <f t="shared" si="38"/>
        <v>0</v>
      </c>
      <c r="J114" s="87">
        <f t="shared" si="38"/>
        <v>0</v>
      </c>
      <c r="K114" s="87">
        <f t="shared" si="38"/>
        <v>0</v>
      </c>
      <c r="L114" s="141">
        <v>0</v>
      </c>
      <c r="M114" s="204">
        <v>0</v>
      </c>
      <c r="N114" s="87">
        <v>0</v>
      </c>
      <c r="O114" s="94">
        <v>0</v>
      </c>
    </row>
    <row r="115" spans="1:16" s="134" customFormat="1" ht="43.5" customHeight="1" x14ac:dyDescent="0.3">
      <c r="A115" s="270"/>
      <c r="B115" s="267"/>
      <c r="C115" s="137" t="s">
        <v>7</v>
      </c>
      <c r="D115" s="87">
        <f t="shared" si="27"/>
        <v>103.27</v>
      </c>
      <c r="E115" s="87">
        <f t="shared" si="38"/>
        <v>0</v>
      </c>
      <c r="F115" s="87">
        <f t="shared" si="38"/>
        <v>0</v>
      </c>
      <c r="G115" s="87">
        <v>0</v>
      </c>
      <c r="H115" s="87">
        <f t="shared" si="38"/>
        <v>0</v>
      </c>
      <c r="I115" s="87">
        <f t="shared" si="38"/>
        <v>98.03</v>
      </c>
      <c r="J115" s="87">
        <f t="shared" si="38"/>
        <v>5.24</v>
      </c>
      <c r="K115" s="87">
        <f t="shared" si="38"/>
        <v>0</v>
      </c>
      <c r="L115" s="141">
        <v>0</v>
      </c>
      <c r="M115" s="204">
        <v>0</v>
      </c>
      <c r="N115" s="87">
        <v>0</v>
      </c>
      <c r="O115" s="94">
        <v>0</v>
      </c>
    </row>
    <row r="116" spans="1:16" s="134" customFormat="1" ht="49.5" customHeight="1" x14ac:dyDescent="0.3">
      <c r="A116" s="270"/>
      <c r="B116" s="267"/>
      <c r="C116" s="137" t="s">
        <v>24</v>
      </c>
      <c r="D116" s="87">
        <f t="shared" si="27"/>
        <v>102018.16</v>
      </c>
      <c r="E116" s="87">
        <f>E121+E126+E131+E136+E146+E141</f>
        <v>2311</v>
      </c>
      <c r="F116" s="87">
        <f t="shared" ref="F116:K117" si="39">F121+F126+F131+F136+F146</f>
        <v>2006.2</v>
      </c>
      <c r="G116" s="87">
        <f>G121+G126+G131+G136+G141+G146</f>
        <v>8463.8000000000011</v>
      </c>
      <c r="H116" s="87">
        <f>H121+H126+H131+H136+H146</f>
        <v>3213.8</v>
      </c>
      <c r="I116" s="87">
        <f>I121+I126+I131+I136+I146</f>
        <v>7499</v>
      </c>
      <c r="J116" s="87">
        <f t="shared" ref="J116:K116" si="40">J121+J126+J131+J136+J146+J151</f>
        <v>3203.3</v>
      </c>
      <c r="K116" s="87">
        <f t="shared" si="40"/>
        <v>3384.9</v>
      </c>
      <c r="L116" s="141">
        <f>L121+L126+L131+L136+L146</f>
        <v>10120.36</v>
      </c>
      <c r="M116" s="141">
        <f>M121+M126+M131+M136+M146</f>
        <v>21192.799999999999</v>
      </c>
      <c r="N116" s="87">
        <f t="shared" ref="N116:O116" si="41">N121+N126+N131+N136+N146</f>
        <v>20310</v>
      </c>
      <c r="O116" s="87">
        <f t="shared" si="41"/>
        <v>20313</v>
      </c>
      <c r="P116" s="134">
        <v>3870.8</v>
      </c>
    </row>
    <row r="117" spans="1:16" s="134" customFormat="1" ht="40.5" customHeight="1" x14ac:dyDescent="0.3">
      <c r="A117" s="271"/>
      <c r="B117" s="268"/>
      <c r="C117" s="137" t="s">
        <v>22</v>
      </c>
      <c r="D117" s="87">
        <f t="shared" si="27"/>
        <v>0</v>
      </c>
      <c r="E117" s="87">
        <f>E122+E127+E132+E137+E147</f>
        <v>0</v>
      </c>
      <c r="F117" s="87">
        <f t="shared" si="39"/>
        <v>0</v>
      </c>
      <c r="G117" s="87">
        <v>0</v>
      </c>
      <c r="H117" s="87">
        <f t="shared" si="39"/>
        <v>0</v>
      </c>
      <c r="I117" s="87">
        <f t="shared" si="39"/>
        <v>0</v>
      </c>
      <c r="J117" s="87">
        <f t="shared" si="39"/>
        <v>0</v>
      </c>
      <c r="K117" s="87">
        <f t="shared" si="39"/>
        <v>0</v>
      </c>
      <c r="L117" s="141">
        <v>0</v>
      </c>
      <c r="M117" s="204">
        <v>0</v>
      </c>
      <c r="N117" s="87">
        <v>0</v>
      </c>
      <c r="O117" s="94">
        <v>0</v>
      </c>
    </row>
    <row r="118" spans="1:16" s="134" customFormat="1" ht="37.5" customHeight="1" x14ac:dyDescent="0.3">
      <c r="A118" s="269" t="s">
        <v>327</v>
      </c>
      <c r="B118" s="266" t="s">
        <v>151</v>
      </c>
      <c r="C118" s="135" t="s">
        <v>178</v>
      </c>
      <c r="D118" s="87">
        <f t="shared" si="27"/>
        <v>261.10000000000002</v>
      </c>
      <c r="E118" s="87">
        <f>E119+E120+E121+E122</f>
        <v>34</v>
      </c>
      <c r="F118" s="87">
        <f t="shared" ref="F118:O118" si="42">F119+F120+F121+F122</f>
        <v>34.5</v>
      </c>
      <c r="G118" s="87">
        <v>40.5</v>
      </c>
      <c r="H118" s="87">
        <f t="shared" si="42"/>
        <v>12.4</v>
      </c>
      <c r="I118" s="87">
        <f t="shared" si="42"/>
        <v>15</v>
      </c>
      <c r="J118" s="87">
        <f t="shared" si="42"/>
        <v>6.4</v>
      </c>
      <c r="K118" s="87">
        <f t="shared" si="42"/>
        <v>0</v>
      </c>
      <c r="L118" s="141">
        <f t="shared" si="42"/>
        <v>100</v>
      </c>
      <c r="M118" s="141">
        <f t="shared" si="42"/>
        <v>18.3</v>
      </c>
      <c r="N118" s="87">
        <f t="shared" si="42"/>
        <v>0</v>
      </c>
      <c r="O118" s="93">
        <f t="shared" si="42"/>
        <v>0</v>
      </c>
    </row>
    <row r="119" spans="1:16" s="134" customFormat="1" ht="43.5" customHeight="1" x14ac:dyDescent="0.3">
      <c r="A119" s="270"/>
      <c r="B119" s="267"/>
      <c r="C119" s="135" t="s">
        <v>6</v>
      </c>
      <c r="D119" s="87">
        <f t="shared" si="27"/>
        <v>0</v>
      </c>
      <c r="E119" s="87">
        <v>0</v>
      </c>
      <c r="F119" s="87">
        <v>0</v>
      </c>
      <c r="G119" s="87">
        <v>0</v>
      </c>
      <c r="H119" s="87">
        <v>0</v>
      </c>
      <c r="I119" s="87">
        <v>0</v>
      </c>
      <c r="J119" s="87">
        <v>0</v>
      </c>
      <c r="K119" s="87">
        <v>0</v>
      </c>
      <c r="L119" s="141">
        <v>0</v>
      </c>
      <c r="M119" s="201">
        <v>0</v>
      </c>
      <c r="N119" s="87">
        <v>0</v>
      </c>
      <c r="O119" s="94">
        <v>0</v>
      </c>
    </row>
    <row r="120" spans="1:16" s="134" customFormat="1" ht="36" customHeight="1" x14ac:dyDescent="0.3">
      <c r="A120" s="270"/>
      <c r="B120" s="267"/>
      <c r="C120" s="137" t="s">
        <v>7</v>
      </c>
      <c r="D120" s="87">
        <f t="shared" si="27"/>
        <v>0</v>
      </c>
      <c r="E120" s="87">
        <v>0</v>
      </c>
      <c r="F120" s="87">
        <v>0</v>
      </c>
      <c r="G120" s="87">
        <v>0</v>
      </c>
      <c r="H120" s="87">
        <v>0</v>
      </c>
      <c r="I120" s="87">
        <v>0</v>
      </c>
      <c r="J120" s="87">
        <v>0</v>
      </c>
      <c r="K120" s="87">
        <v>0</v>
      </c>
      <c r="L120" s="141">
        <v>0</v>
      </c>
      <c r="M120" s="201">
        <v>0</v>
      </c>
      <c r="N120" s="87">
        <v>0</v>
      </c>
      <c r="O120" s="94">
        <v>0</v>
      </c>
    </row>
    <row r="121" spans="1:16" s="134" customFormat="1" ht="57" customHeight="1" x14ac:dyDescent="0.3">
      <c r="A121" s="270"/>
      <c r="B121" s="267"/>
      <c r="C121" s="137" t="s">
        <v>24</v>
      </c>
      <c r="D121" s="87">
        <f t="shared" si="27"/>
        <v>261.10000000000002</v>
      </c>
      <c r="E121" s="87">
        <v>34</v>
      </c>
      <c r="F121" s="87">
        <v>34.5</v>
      </c>
      <c r="G121" s="87">
        <v>40.5</v>
      </c>
      <c r="H121" s="87">
        <v>12.4</v>
      </c>
      <c r="I121" s="87">
        <v>15</v>
      </c>
      <c r="J121" s="87">
        <v>6.4</v>
      </c>
      <c r="K121" s="87">
        <v>0</v>
      </c>
      <c r="L121" s="141">
        <v>100</v>
      </c>
      <c r="M121" s="201">
        <v>18.3</v>
      </c>
      <c r="N121" s="87">
        <v>0</v>
      </c>
      <c r="O121" s="94">
        <v>0</v>
      </c>
    </row>
    <row r="122" spans="1:16" s="134" customFormat="1" ht="39.75" customHeight="1" x14ac:dyDescent="0.3">
      <c r="A122" s="271"/>
      <c r="B122" s="268"/>
      <c r="C122" s="137" t="s">
        <v>22</v>
      </c>
      <c r="D122" s="87">
        <f t="shared" si="27"/>
        <v>0</v>
      </c>
      <c r="E122" s="87">
        <v>0</v>
      </c>
      <c r="F122" s="87">
        <v>0</v>
      </c>
      <c r="G122" s="87">
        <v>0</v>
      </c>
      <c r="H122" s="87">
        <v>0</v>
      </c>
      <c r="I122" s="87">
        <v>0</v>
      </c>
      <c r="J122" s="87">
        <v>0</v>
      </c>
      <c r="K122" s="87">
        <v>0</v>
      </c>
      <c r="L122" s="141">
        <v>0</v>
      </c>
      <c r="M122" s="201">
        <v>0</v>
      </c>
      <c r="N122" s="87">
        <v>0</v>
      </c>
      <c r="O122" s="94">
        <v>0</v>
      </c>
    </row>
    <row r="123" spans="1:16" s="134" customFormat="1" ht="45" customHeight="1" x14ac:dyDescent="0.3">
      <c r="A123" s="269" t="s">
        <v>161</v>
      </c>
      <c r="B123" s="266" t="s">
        <v>229</v>
      </c>
      <c r="C123" s="135" t="s">
        <v>178</v>
      </c>
      <c r="D123" s="87">
        <f t="shared" si="27"/>
        <v>25625.71</v>
      </c>
      <c r="E123" s="87">
        <f>E124+E125+E126+E127</f>
        <v>1360</v>
      </c>
      <c r="F123" s="87">
        <v>1530.01</v>
      </c>
      <c r="G123" s="87">
        <f>G126</f>
        <v>2318.65</v>
      </c>
      <c r="H123" s="87">
        <f t="shared" ref="H123:O123" si="43">H124+H125+H126+H127</f>
        <v>2122.6</v>
      </c>
      <c r="I123" s="87">
        <f t="shared" si="43"/>
        <v>2272.15</v>
      </c>
      <c r="J123" s="87">
        <f t="shared" si="43"/>
        <v>2939.3399999999997</v>
      </c>
      <c r="K123" s="87">
        <f t="shared" si="43"/>
        <v>2463.9</v>
      </c>
      <c r="L123" s="141">
        <f t="shared" si="43"/>
        <v>3820.36</v>
      </c>
      <c r="M123" s="141">
        <f t="shared" si="43"/>
        <v>2598.6999999999998</v>
      </c>
      <c r="N123" s="87">
        <f t="shared" si="43"/>
        <v>2100</v>
      </c>
      <c r="O123" s="93">
        <f t="shared" si="43"/>
        <v>2100</v>
      </c>
    </row>
    <row r="124" spans="1:16" s="134" customFormat="1" ht="52.5" customHeight="1" x14ac:dyDescent="0.3">
      <c r="A124" s="270"/>
      <c r="B124" s="267"/>
      <c r="C124" s="135" t="s">
        <v>6</v>
      </c>
      <c r="D124" s="87">
        <f t="shared" si="27"/>
        <v>0</v>
      </c>
      <c r="E124" s="87">
        <v>0</v>
      </c>
      <c r="F124" s="87">
        <v>0</v>
      </c>
      <c r="G124" s="87">
        <v>0</v>
      </c>
      <c r="H124" s="87">
        <v>0</v>
      </c>
      <c r="I124" s="87">
        <v>0</v>
      </c>
      <c r="J124" s="87">
        <v>0</v>
      </c>
      <c r="K124" s="87">
        <v>0</v>
      </c>
      <c r="L124" s="141">
        <v>0</v>
      </c>
      <c r="M124" s="201">
        <v>0</v>
      </c>
      <c r="N124" s="87">
        <v>0</v>
      </c>
      <c r="O124" s="94">
        <v>0</v>
      </c>
    </row>
    <row r="125" spans="1:16" s="134" customFormat="1" ht="40.5" customHeight="1" x14ac:dyDescent="0.3">
      <c r="A125" s="270"/>
      <c r="B125" s="267"/>
      <c r="C125" s="137" t="s">
        <v>7</v>
      </c>
      <c r="D125" s="87">
        <f t="shared" si="27"/>
        <v>103.27</v>
      </c>
      <c r="E125" s="87">
        <v>0</v>
      </c>
      <c r="F125" s="87">
        <v>0</v>
      </c>
      <c r="G125" s="87">
        <v>0</v>
      </c>
      <c r="H125" s="87">
        <v>0</v>
      </c>
      <c r="I125" s="87">
        <v>98.03</v>
      </c>
      <c r="J125" s="87">
        <v>5.24</v>
      </c>
      <c r="K125" s="87">
        <v>0</v>
      </c>
      <c r="L125" s="141">
        <v>0</v>
      </c>
      <c r="M125" s="201">
        <v>0</v>
      </c>
      <c r="N125" s="87">
        <v>0</v>
      </c>
      <c r="O125" s="94">
        <v>0</v>
      </c>
    </row>
    <row r="126" spans="1:16" s="134" customFormat="1" ht="43.5" customHeight="1" x14ac:dyDescent="0.3">
      <c r="A126" s="270"/>
      <c r="B126" s="267"/>
      <c r="C126" s="137" t="s">
        <v>24</v>
      </c>
      <c r="D126" s="87">
        <f t="shared" si="27"/>
        <v>25522.440000000002</v>
      </c>
      <c r="E126" s="87">
        <v>1360</v>
      </c>
      <c r="F126" s="87">
        <v>1530.01</v>
      </c>
      <c r="G126" s="87">
        <v>2318.65</v>
      </c>
      <c r="H126" s="87">
        <v>2122.6</v>
      </c>
      <c r="I126" s="87">
        <v>2174.12</v>
      </c>
      <c r="J126" s="87">
        <v>2934.1</v>
      </c>
      <c r="K126" s="87">
        <v>2463.9</v>
      </c>
      <c r="L126" s="141">
        <v>3820.36</v>
      </c>
      <c r="M126" s="201">
        <v>2598.6999999999998</v>
      </c>
      <c r="N126" s="87">
        <f>2000+100</f>
        <v>2100</v>
      </c>
      <c r="O126" s="94">
        <f>2000+100</f>
        <v>2100</v>
      </c>
    </row>
    <row r="127" spans="1:16" s="134" customFormat="1" ht="44.25" customHeight="1" x14ac:dyDescent="0.3">
      <c r="A127" s="271"/>
      <c r="B127" s="268"/>
      <c r="C127" s="137" t="s">
        <v>22</v>
      </c>
      <c r="D127" s="87">
        <f t="shared" si="27"/>
        <v>0</v>
      </c>
      <c r="E127" s="87">
        <v>0</v>
      </c>
      <c r="F127" s="87">
        <v>0</v>
      </c>
      <c r="G127" s="87">
        <v>0</v>
      </c>
      <c r="H127" s="87">
        <v>0</v>
      </c>
      <c r="I127" s="87">
        <v>0</v>
      </c>
      <c r="J127" s="87">
        <v>0</v>
      </c>
      <c r="K127" s="87">
        <v>0</v>
      </c>
      <c r="L127" s="141">
        <v>0</v>
      </c>
      <c r="M127" s="201">
        <v>0</v>
      </c>
      <c r="N127" s="87">
        <v>0</v>
      </c>
      <c r="O127" s="94">
        <v>0</v>
      </c>
    </row>
    <row r="128" spans="1:16" s="134" customFormat="1" ht="39.75" customHeight="1" x14ac:dyDescent="0.3">
      <c r="A128" s="269" t="s">
        <v>328</v>
      </c>
      <c r="B128" s="266" t="s">
        <v>182</v>
      </c>
      <c r="C128" s="135" t="s">
        <v>178</v>
      </c>
      <c r="D128" s="87">
        <f t="shared" si="27"/>
        <v>170.8</v>
      </c>
      <c r="E128" s="87">
        <f>E129+E130+E131+E132</f>
        <v>100</v>
      </c>
      <c r="F128" s="87">
        <v>0</v>
      </c>
      <c r="G128" s="87">
        <v>70.8</v>
      </c>
      <c r="H128" s="87">
        <f>H131</f>
        <v>0</v>
      </c>
      <c r="I128" s="87">
        <f t="shared" ref="I128:O128" si="44">I131</f>
        <v>0</v>
      </c>
      <c r="J128" s="87">
        <f t="shared" si="44"/>
        <v>0</v>
      </c>
      <c r="K128" s="87">
        <f t="shared" si="44"/>
        <v>0</v>
      </c>
      <c r="L128" s="141">
        <f t="shared" si="44"/>
        <v>0</v>
      </c>
      <c r="M128" s="201">
        <v>0</v>
      </c>
      <c r="N128" s="87">
        <f t="shared" si="44"/>
        <v>0</v>
      </c>
      <c r="O128" s="93">
        <f t="shared" si="44"/>
        <v>0</v>
      </c>
    </row>
    <row r="129" spans="1:15" s="134" customFormat="1" ht="45.75" customHeight="1" x14ac:dyDescent="0.3">
      <c r="A129" s="270"/>
      <c r="B129" s="267"/>
      <c r="C129" s="135" t="s">
        <v>6</v>
      </c>
      <c r="D129" s="87">
        <f t="shared" si="27"/>
        <v>0</v>
      </c>
      <c r="E129" s="87">
        <v>0</v>
      </c>
      <c r="F129" s="87">
        <v>0</v>
      </c>
      <c r="G129" s="87">
        <v>0</v>
      </c>
      <c r="H129" s="87">
        <v>0</v>
      </c>
      <c r="I129" s="87">
        <v>0</v>
      </c>
      <c r="J129" s="87">
        <v>0</v>
      </c>
      <c r="K129" s="87">
        <v>0</v>
      </c>
      <c r="L129" s="141">
        <v>0</v>
      </c>
      <c r="M129" s="201">
        <v>0</v>
      </c>
      <c r="N129" s="87">
        <v>0</v>
      </c>
      <c r="O129" s="94">
        <v>0</v>
      </c>
    </row>
    <row r="130" spans="1:15" s="134" customFormat="1" ht="42" customHeight="1" x14ac:dyDescent="0.3">
      <c r="A130" s="270"/>
      <c r="B130" s="267"/>
      <c r="C130" s="137" t="s">
        <v>7</v>
      </c>
      <c r="D130" s="87">
        <f t="shared" si="27"/>
        <v>0</v>
      </c>
      <c r="E130" s="87">
        <v>0</v>
      </c>
      <c r="F130" s="87">
        <v>0</v>
      </c>
      <c r="G130" s="87">
        <v>0</v>
      </c>
      <c r="H130" s="87">
        <v>0</v>
      </c>
      <c r="I130" s="87">
        <v>0</v>
      </c>
      <c r="J130" s="87">
        <v>0</v>
      </c>
      <c r="K130" s="87">
        <v>0</v>
      </c>
      <c r="L130" s="141">
        <v>0</v>
      </c>
      <c r="M130" s="201">
        <v>0</v>
      </c>
      <c r="N130" s="87">
        <v>0</v>
      </c>
      <c r="O130" s="94">
        <v>0</v>
      </c>
    </row>
    <row r="131" spans="1:15" s="134" customFormat="1" ht="48.75" customHeight="1" x14ac:dyDescent="0.3">
      <c r="A131" s="270"/>
      <c r="B131" s="267"/>
      <c r="C131" s="137" t="s">
        <v>24</v>
      </c>
      <c r="D131" s="87">
        <f t="shared" si="27"/>
        <v>170.8</v>
      </c>
      <c r="E131" s="87">
        <v>100</v>
      </c>
      <c r="F131" s="87">
        <v>0</v>
      </c>
      <c r="G131" s="87">
        <v>70.8</v>
      </c>
      <c r="H131" s="87">
        <v>0</v>
      </c>
      <c r="I131" s="87">
        <v>0</v>
      </c>
      <c r="J131" s="87">
        <v>0</v>
      </c>
      <c r="K131" s="87">
        <v>0</v>
      </c>
      <c r="L131" s="141">
        <v>0</v>
      </c>
      <c r="M131" s="201">
        <v>0</v>
      </c>
      <c r="N131" s="87">
        <v>0</v>
      </c>
      <c r="O131" s="94">
        <v>0</v>
      </c>
    </row>
    <row r="132" spans="1:15" s="134" customFormat="1" ht="48.75" customHeight="1" x14ac:dyDescent="0.3">
      <c r="A132" s="271"/>
      <c r="B132" s="268"/>
      <c r="C132" s="137" t="s">
        <v>22</v>
      </c>
      <c r="D132" s="87">
        <f t="shared" si="27"/>
        <v>0</v>
      </c>
      <c r="E132" s="87">
        <v>0</v>
      </c>
      <c r="F132" s="87">
        <v>0</v>
      </c>
      <c r="G132" s="87">
        <v>0</v>
      </c>
      <c r="H132" s="87">
        <v>0</v>
      </c>
      <c r="I132" s="87">
        <v>0</v>
      </c>
      <c r="J132" s="87">
        <v>0</v>
      </c>
      <c r="K132" s="87">
        <v>0</v>
      </c>
      <c r="L132" s="141">
        <v>0</v>
      </c>
      <c r="M132" s="201">
        <v>0</v>
      </c>
      <c r="N132" s="87">
        <v>0</v>
      </c>
      <c r="O132" s="94">
        <v>0</v>
      </c>
    </row>
    <row r="133" spans="1:15" s="134" customFormat="1" ht="42" customHeight="1" x14ac:dyDescent="0.3">
      <c r="A133" s="274" t="s">
        <v>162</v>
      </c>
      <c r="B133" s="275" t="s">
        <v>180</v>
      </c>
      <c r="C133" s="135" t="s">
        <v>178</v>
      </c>
      <c r="D133" s="87">
        <f t="shared" si="27"/>
        <v>747.19</v>
      </c>
      <c r="E133" s="87">
        <v>365</v>
      </c>
      <c r="F133" s="87">
        <v>301.69</v>
      </c>
      <c r="G133" s="87">
        <v>5</v>
      </c>
      <c r="H133" s="87">
        <f>H136</f>
        <v>75.5</v>
      </c>
      <c r="I133" s="87">
        <f t="shared" ref="I133:O133" si="45">I136</f>
        <v>0</v>
      </c>
      <c r="J133" s="87">
        <f t="shared" si="45"/>
        <v>0</v>
      </c>
      <c r="K133" s="87">
        <f t="shared" si="45"/>
        <v>0</v>
      </c>
      <c r="L133" s="141">
        <f t="shared" si="45"/>
        <v>0</v>
      </c>
      <c r="M133" s="141">
        <f t="shared" si="45"/>
        <v>0</v>
      </c>
      <c r="N133" s="87">
        <f t="shared" si="45"/>
        <v>0</v>
      </c>
      <c r="O133" s="93">
        <f t="shared" si="45"/>
        <v>0</v>
      </c>
    </row>
    <row r="134" spans="1:15" s="134" customFormat="1" ht="47.25" customHeight="1" x14ac:dyDescent="0.3">
      <c r="A134" s="274"/>
      <c r="B134" s="275"/>
      <c r="C134" s="135" t="s">
        <v>6</v>
      </c>
      <c r="D134" s="87">
        <f t="shared" si="27"/>
        <v>0</v>
      </c>
      <c r="E134" s="87">
        <v>0</v>
      </c>
      <c r="F134" s="87">
        <v>0</v>
      </c>
      <c r="G134" s="87">
        <v>0</v>
      </c>
      <c r="H134" s="87">
        <v>0</v>
      </c>
      <c r="I134" s="87">
        <v>0</v>
      </c>
      <c r="J134" s="87">
        <v>0</v>
      </c>
      <c r="K134" s="87">
        <v>0</v>
      </c>
      <c r="L134" s="141">
        <v>0</v>
      </c>
      <c r="M134" s="201">
        <v>0</v>
      </c>
      <c r="N134" s="87">
        <v>0</v>
      </c>
      <c r="O134" s="94">
        <v>0</v>
      </c>
    </row>
    <row r="135" spans="1:15" s="134" customFormat="1" ht="40.5" customHeight="1" x14ac:dyDescent="0.3">
      <c r="A135" s="274"/>
      <c r="B135" s="275"/>
      <c r="C135" s="137" t="s">
        <v>7</v>
      </c>
      <c r="D135" s="87">
        <f t="shared" si="27"/>
        <v>0</v>
      </c>
      <c r="E135" s="87">
        <v>0</v>
      </c>
      <c r="F135" s="87">
        <v>0</v>
      </c>
      <c r="G135" s="87">
        <v>0</v>
      </c>
      <c r="H135" s="87">
        <v>0</v>
      </c>
      <c r="I135" s="87">
        <v>0</v>
      </c>
      <c r="J135" s="87">
        <v>0</v>
      </c>
      <c r="K135" s="87">
        <v>0</v>
      </c>
      <c r="L135" s="141">
        <v>0</v>
      </c>
      <c r="M135" s="201">
        <v>0</v>
      </c>
      <c r="N135" s="87">
        <v>0</v>
      </c>
      <c r="O135" s="94">
        <v>0</v>
      </c>
    </row>
    <row r="136" spans="1:15" s="134" customFormat="1" ht="48.75" customHeight="1" x14ac:dyDescent="0.3">
      <c r="A136" s="274"/>
      <c r="B136" s="275"/>
      <c r="C136" s="137" t="s">
        <v>24</v>
      </c>
      <c r="D136" s="87">
        <f t="shared" si="27"/>
        <v>747.19</v>
      </c>
      <c r="E136" s="87">
        <v>365</v>
      </c>
      <c r="F136" s="87">
        <v>301.69</v>
      </c>
      <c r="G136" s="87">
        <v>5</v>
      </c>
      <c r="H136" s="87">
        <v>75.5</v>
      </c>
      <c r="I136" s="87">
        <v>0</v>
      </c>
      <c r="J136" s="87">
        <v>0</v>
      </c>
      <c r="K136" s="87">
        <v>0</v>
      </c>
      <c r="L136" s="141">
        <v>0</v>
      </c>
      <c r="M136" s="201">
        <v>0</v>
      </c>
      <c r="N136" s="87">
        <v>0</v>
      </c>
      <c r="O136" s="94">
        <v>0</v>
      </c>
    </row>
    <row r="137" spans="1:15" s="134" customFormat="1" ht="44.25" customHeight="1" x14ac:dyDescent="0.3">
      <c r="A137" s="274"/>
      <c r="B137" s="275"/>
      <c r="C137" s="137" t="s">
        <v>22</v>
      </c>
      <c r="D137" s="87">
        <f t="shared" si="27"/>
        <v>0</v>
      </c>
      <c r="E137" s="87">
        <v>0</v>
      </c>
      <c r="F137" s="87">
        <v>0</v>
      </c>
      <c r="G137" s="87">
        <v>0</v>
      </c>
      <c r="H137" s="87">
        <v>0</v>
      </c>
      <c r="I137" s="87">
        <v>0</v>
      </c>
      <c r="J137" s="87">
        <v>0</v>
      </c>
      <c r="K137" s="87">
        <v>0</v>
      </c>
      <c r="L137" s="141">
        <v>0</v>
      </c>
      <c r="M137" s="201">
        <v>0</v>
      </c>
      <c r="N137" s="87">
        <v>0</v>
      </c>
      <c r="O137" s="94">
        <v>0</v>
      </c>
    </row>
    <row r="138" spans="1:15" s="134" customFormat="1" ht="40.5" customHeight="1" x14ac:dyDescent="0.3">
      <c r="A138" s="274" t="s">
        <v>329</v>
      </c>
      <c r="B138" s="266" t="s">
        <v>30</v>
      </c>
      <c r="C138" s="135" t="s">
        <v>178</v>
      </c>
      <c r="D138" s="87">
        <f t="shared" si="27"/>
        <v>330</v>
      </c>
      <c r="E138" s="87">
        <v>330</v>
      </c>
      <c r="F138" s="87">
        <v>0</v>
      </c>
      <c r="G138" s="87">
        <v>0</v>
      </c>
      <c r="H138" s="87">
        <v>0</v>
      </c>
      <c r="I138" s="87">
        <v>0</v>
      </c>
      <c r="J138" s="87">
        <v>0</v>
      </c>
      <c r="K138" s="87">
        <v>0</v>
      </c>
      <c r="L138" s="141">
        <v>0</v>
      </c>
      <c r="M138" s="201">
        <v>0</v>
      </c>
      <c r="N138" s="87">
        <v>0</v>
      </c>
      <c r="O138" s="93">
        <v>0</v>
      </c>
    </row>
    <row r="139" spans="1:15" s="134" customFormat="1" ht="51" customHeight="1" x14ac:dyDescent="0.3">
      <c r="A139" s="274"/>
      <c r="B139" s="262"/>
      <c r="C139" s="135" t="s">
        <v>6</v>
      </c>
      <c r="D139" s="87">
        <f t="shared" si="27"/>
        <v>0</v>
      </c>
      <c r="E139" s="87">
        <v>0</v>
      </c>
      <c r="F139" s="87">
        <v>0</v>
      </c>
      <c r="G139" s="87">
        <v>0</v>
      </c>
      <c r="H139" s="87">
        <v>0</v>
      </c>
      <c r="I139" s="87">
        <v>0</v>
      </c>
      <c r="J139" s="87">
        <v>0</v>
      </c>
      <c r="K139" s="87">
        <v>0</v>
      </c>
      <c r="L139" s="141">
        <v>0</v>
      </c>
      <c r="M139" s="201">
        <v>0</v>
      </c>
      <c r="N139" s="87">
        <v>0</v>
      </c>
      <c r="O139" s="93">
        <v>0</v>
      </c>
    </row>
    <row r="140" spans="1:15" s="134" customFormat="1" ht="40.5" customHeight="1" x14ac:dyDescent="0.3">
      <c r="A140" s="274"/>
      <c r="B140" s="262"/>
      <c r="C140" s="137" t="s">
        <v>7</v>
      </c>
      <c r="D140" s="87">
        <f t="shared" si="27"/>
        <v>0</v>
      </c>
      <c r="E140" s="87">
        <v>0</v>
      </c>
      <c r="F140" s="87">
        <v>0</v>
      </c>
      <c r="G140" s="87">
        <v>0</v>
      </c>
      <c r="H140" s="87">
        <v>0</v>
      </c>
      <c r="I140" s="87">
        <v>0</v>
      </c>
      <c r="J140" s="87">
        <v>0</v>
      </c>
      <c r="K140" s="87">
        <v>0</v>
      </c>
      <c r="L140" s="141">
        <v>0</v>
      </c>
      <c r="M140" s="201">
        <v>0</v>
      </c>
      <c r="N140" s="87">
        <v>0</v>
      </c>
      <c r="O140" s="93">
        <v>0</v>
      </c>
    </row>
    <row r="141" spans="1:15" s="134" customFormat="1" ht="49.5" customHeight="1" x14ac:dyDescent="0.3">
      <c r="A141" s="274"/>
      <c r="B141" s="262"/>
      <c r="C141" s="137" t="s">
        <v>24</v>
      </c>
      <c r="D141" s="87">
        <f t="shared" si="27"/>
        <v>330</v>
      </c>
      <c r="E141" s="87">
        <v>330</v>
      </c>
      <c r="F141" s="87">
        <v>0</v>
      </c>
      <c r="G141" s="87">
        <v>0</v>
      </c>
      <c r="H141" s="87">
        <v>0</v>
      </c>
      <c r="I141" s="87">
        <v>0</v>
      </c>
      <c r="J141" s="87">
        <v>0</v>
      </c>
      <c r="K141" s="87">
        <v>0</v>
      </c>
      <c r="L141" s="141">
        <v>0</v>
      </c>
      <c r="M141" s="201">
        <v>0</v>
      </c>
      <c r="N141" s="87">
        <v>0</v>
      </c>
      <c r="O141" s="93">
        <v>0</v>
      </c>
    </row>
    <row r="142" spans="1:15" s="134" customFormat="1" ht="45.75" customHeight="1" x14ac:dyDescent="0.3">
      <c r="A142" s="274"/>
      <c r="B142" s="263"/>
      <c r="C142" s="137" t="s">
        <v>22</v>
      </c>
      <c r="D142" s="87">
        <f t="shared" si="27"/>
        <v>0</v>
      </c>
      <c r="E142" s="87">
        <v>0</v>
      </c>
      <c r="F142" s="87">
        <v>0</v>
      </c>
      <c r="G142" s="87">
        <v>0</v>
      </c>
      <c r="H142" s="87">
        <v>0</v>
      </c>
      <c r="I142" s="87">
        <v>0</v>
      </c>
      <c r="J142" s="87">
        <v>0</v>
      </c>
      <c r="K142" s="87">
        <v>0</v>
      </c>
      <c r="L142" s="141">
        <v>0</v>
      </c>
      <c r="M142" s="201">
        <v>0</v>
      </c>
      <c r="N142" s="87">
        <v>0</v>
      </c>
      <c r="O142" s="93">
        <v>0</v>
      </c>
    </row>
    <row r="143" spans="1:15" s="134" customFormat="1" ht="44.25" customHeight="1" x14ac:dyDescent="0.3">
      <c r="A143" s="274" t="s">
        <v>330</v>
      </c>
      <c r="B143" s="275" t="s">
        <v>183</v>
      </c>
      <c r="C143" s="135" t="s">
        <v>178</v>
      </c>
      <c r="D143" s="87">
        <f t="shared" si="27"/>
        <v>74986.63</v>
      </c>
      <c r="E143" s="87">
        <f>E144+E145+E146+E147</f>
        <v>122</v>
      </c>
      <c r="F143" s="87">
        <f t="shared" ref="F143:O143" si="46">F144+F145+F146+F147</f>
        <v>140</v>
      </c>
      <c r="G143" s="87">
        <f>G146</f>
        <v>6028.85</v>
      </c>
      <c r="H143" s="87">
        <f t="shared" si="46"/>
        <v>1003.3</v>
      </c>
      <c r="I143" s="87">
        <f t="shared" si="46"/>
        <v>5309.88</v>
      </c>
      <c r="J143" s="87">
        <f t="shared" si="46"/>
        <v>262.8</v>
      </c>
      <c r="K143" s="87">
        <f t="shared" si="46"/>
        <v>921</v>
      </c>
      <c r="L143" s="141">
        <f>L144+L145+L146+L147</f>
        <v>6200</v>
      </c>
      <c r="M143" s="141">
        <f>M144+M145+M146+M147</f>
        <v>18575.8</v>
      </c>
      <c r="N143" s="87">
        <f t="shared" si="46"/>
        <v>18210</v>
      </c>
      <c r="O143" s="93">
        <f t="shared" si="46"/>
        <v>18213</v>
      </c>
    </row>
    <row r="144" spans="1:15" s="134" customFormat="1" ht="47.25" customHeight="1" x14ac:dyDescent="0.3">
      <c r="A144" s="274"/>
      <c r="B144" s="275"/>
      <c r="C144" s="135" t="s">
        <v>6</v>
      </c>
      <c r="D144" s="87">
        <f t="shared" si="27"/>
        <v>0</v>
      </c>
      <c r="E144" s="87">
        <v>0</v>
      </c>
      <c r="F144" s="87">
        <v>0</v>
      </c>
      <c r="G144" s="87">
        <v>0</v>
      </c>
      <c r="H144" s="87">
        <v>0</v>
      </c>
      <c r="I144" s="87">
        <v>0</v>
      </c>
      <c r="J144" s="87">
        <v>0</v>
      </c>
      <c r="K144" s="87">
        <v>0</v>
      </c>
      <c r="L144" s="141">
        <v>0</v>
      </c>
      <c r="M144" s="201">
        <v>0</v>
      </c>
      <c r="N144" s="87">
        <v>0</v>
      </c>
      <c r="O144" s="94">
        <v>0</v>
      </c>
    </row>
    <row r="145" spans="1:15" s="134" customFormat="1" ht="43.5" customHeight="1" x14ac:dyDescent="0.3">
      <c r="A145" s="274"/>
      <c r="B145" s="275"/>
      <c r="C145" s="137" t="s">
        <v>7</v>
      </c>
      <c r="D145" s="87">
        <f t="shared" si="27"/>
        <v>0</v>
      </c>
      <c r="E145" s="87">
        <v>0</v>
      </c>
      <c r="F145" s="87">
        <v>0</v>
      </c>
      <c r="G145" s="87">
        <v>0</v>
      </c>
      <c r="H145" s="87">
        <v>0</v>
      </c>
      <c r="I145" s="87">
        <v>0</v>
      </c>
      <c r="J145" s="87">
        <v>0</v>
      </c>
      <c r="K145" s="87">
        <v>0</v>
      </c>
      <c r="L145" s="141">
        <v>0</v>
      </c>
      <c r="M145" s="201">
        <v>0</v>
      </c>
      <c r="N145" s="87">
        <v>0</v>
      </c>
      <c r="O145" s="94">
        <v>0</v>
      </c>
    </row>
    <row r="146" spans="1:15" s="134" customFormat="1" ht="45.75" customHeight="1" x14ac:dyDescent="0.3">
      <c r="A146" s="274"/>
      <c r="B146" s="275"/>
      <c r="C146" s="137" t="s">
        <v>24</v>
      </c>
      <c r="D146" s="87">
        <f t="shared" si="27"/>
        <v>74986.63</v>
      </c>
      <c r="E146" s="87">
        <v>122</v>
      </c>
      <c r="F146" s="87">
        <v>140</v>
      </c>
      <c r="G146" s="87">
        <v>6028.85</v>
      </c>
      <c r="H146" s="87">
        <v>1003.3</v>
      </c>
      <c r="I146" s="87">
        <v>5309.88</v>
      </c>
      <c r="J146" s="87">
        <v>262.8</v>
      </c>
      <c r="K146" s="87">
        <v>921</v>
      </c>
      <c r="L146" s="141">
        <v>6200</v>
      </c>
      <c r="M146" s="201">
        <v>18575.8</v>
      </c>
      <c r="N146" s="87">
        <f>14806+967+2437</f>
        <v>18210</v>
      </c>
      <c r="O146" s="94">
        <f>14806+970+2437</f>
        <v>18213</v>
      </c>
    </row>
    <row r="147" spans="1:15" s="134" customFormat="1" ht="50.25" customHeight="1" x14ac:dyDescent="0.3">
      <c r="A147" s="274"/>
      <c r="B147" s="275"/>
      <c r="C147" s="137" t="s">
        <v>22</v>
      </c>
      <c r="D147" s="87">
        <f t="shared" si="27"/>
        <v>0</v>
      </c>
      <c r="E147" s="87">
        <v>0</v>
      </c>
      <c r="F147" s="87">
        <v>0</v>
      </c>
      <c r="G147" s="87">
        <v>0</v>
      </c>
      <c r="H147" s="87">
        <v>0</v>
      </c>
      <c r="I147" s="87">
        <v>0</v>
      </c>
      <c r="J147" s="87">
        <v>0</v>
      </c>
      <c r="K147" s="87">
        <v>0</v>
      </c>
      <c r="L147" s="141">
        <v>0</v>
      </c>
      <c r="M147" s="201">
        <v>0</v>
      </c>
      <c r="N147" s="87">
        <v>0</v>
      </c>
      <c r="O147" s="94">
        <v>0</v>
      </c>
    </row>
    <row r="148" spans="1:15" s="134" customFormat="1" ht="45.75" customHeight="1" x14ac:dyDescent="0.3">
      <c r="A148" s="269" t="s">
        <v>154</v>
      </c>
      <c r="B148" s="266" t="s">
        <v>153</v>
      </c>
      <c r="C148" s="135" t="s">
        <v>178</v>
      </c>
      <c r="D148" s="87">
        <f t="shared" si="27"/>
        <v>278861</v>
      </c>
      <c r="E148" s="87">
        <f>E150+E151</f>
        <v>0</v>
      </c>
      <c r="F148" s="87">
        <f t="shared" ref="F148:O148" si="47">F150+F151</f>
        <v>0</v>
      </c>
      <c r="G148" s="87">
        <f t="shared" si="47"/>
        <v>1419.6</v>
      </c>
      <c r="H148" s="87">
        <f t="shared" si="47"/>
        <v>1053</v>
      </c>
      <c r="I148" s="87">
        <f t="shared" si="47"/>
        <v>16719.400000000001</v>
      </c>
      <c r="J148" s="87">
        <f t="shared" si="47"/>
        <v>9793.2999999999993</v>
      </c>
      <c r="K148" s="87">
        <f t="shared" si="47"/>
        <v>10002</v>
      </c>
      <c r="L148" s="141">
        <f t="shared" si="47"/>
        <v>15560.4</v>
      </c>
      <c r="M148" s="141">
        <f t="shared" si="47"/>
        <v>103311.79999999999</v>
      </c>
      <c r="N148" s="87">
        <f t="shared" si="47"/>
        <v>114814.8</v>
      </c>
      <c r="O148" s="87">
        <f t="shared" si="47"/>
        <v>6186.7</v>
      </c>
    </row>
    <row r="149" spans="1:15" s="134" customFormat="1" ht="51" customHeight="1" x14ac:dyDescent="0.3">
      <c r="A149" s="270"/>
      <c r="B149" s="267"/>
      <c r="C149" s="135" t="s">
        <v>6</v>
      </c>
      <c r="D149" s="87">
        <f t="shared" si="27"/>
        <v>0</v>
      </c>
      <c r="E149" s="87">
        <v>0</v>
      </c>
      <c r="F149" s="87">
        <v>0</v>
      </c>
      <c r="G149" s="87">
        <v>0</v>
      </c>
      <c r="H149" s="87">
        <v>0</v>
      </c>
      <c r="I149" s="87">
        <v>0</v>
      </c>
      <c r="J149" s="87">
        <v>0</v>
      </c>
      <c r="K149" s="87">
        <v>0</v>
      </c>
      <c r="L149" s="141">
        <v>0</v>
      </c>
      <c r="M149" s="201">
        <v>0</v>
      </c>
      <c r="N149" s="87">
        <v>0</v>
      </c>
      <c r="O149" s="94">
        <v>0</v>
      </c>
    </row>
    <row r="150" spans="1:15" s="134" customFormat="1" ht="42" customHeight="1" x14ac:dyDescent="0.3">
      <c r="A150" s="270"/>
      <c r="B150" s="267"/>
      <c r="C150" s="137" t="s">
        <v>7</v>
      </c>
      <c r="D150" s="87">
        <f t="shared" si="27"/>
        <v>225800.90000000002</v>
      </c>
      <c r="E150" s="87">
        <f>E155</f>
        <v>0</v>
      </c>
      <c r="F150" s="87">
        <f t="shared" ref="F150:O150" si="48">F155</f>
        <v>0</v>
      </c>
      <c r="G150" s="87">
        <f t="shared" si="48"/>
        <v>1419.6</v>
      </c>
      <c r="H150" s="87">
        <f t="shared" si="48"/>
        <v>1053</v>
      </c>
      <c r="I150" s="87">
        <f t="shared" si="48"/>
        <v>16719.400000000001</v>
      </c>
      <c r="J150" s="87">
        <f t="shared" si="48"/>
        <v>9793.2999999999993</v>
      </c>
      <c r="K150" s="87">
        <f t="shared" si="48"/>
        <v>10002</v>
      </c>
      <c r="L150" s="141">
        <f t="shared" si="48"/>
        <v>11603.4</v>
      </c>
      <c r="M150" s="201">
        <f>M160+M155</f>
        <v>80706.7</v>
      </c>
      <c r="N150" s="211">
        <f>N160+N155</f>
        <v>88316.800000000003</v>
      </c>
      <c r="O150" s="87">
        <f t="shared" si="48"/>
        <v>6186.7</v>
      </c>
    </row>
    <row r="151" spans="1:15" s="134" customFormat="1" ht="51" customHeight="1" x14ac:dyDescent="0.3">
      <c r="A151" s="270"/>
      <c r="B151" s="267"/>
      <c r="C151" s="137" t="s">
        <v>24</v>
      </c>
      <c r="D151" s="87">
        <f t="shared" si="27"/>
        <v>53060.1</v>
      </c>
      <c r="E151" s="87">
        <f>E161</f>
        <v>0</v>
      </c>
      <c r="F151" s="87">
        <f t="shared" ref="F151:O151" si="49">F161</f>
        <v>0</v>
      </c>
      <c r="G151" s="87">
        <f t="shared" si="49"/>
        <v>0</v>
      </c>
      <c r="H151" s="87">
        <f t="shared" si="49"/>
        <v>0</v>
      </c>
      <c r="I151" s="87">
        <f t="shared" si="49"/>
        <v>0</v>
      </c>
      <c r="J151" s="87">
        <f t="shared" si="49"/>
        <v>0</v>
      </c>
      <c r="K151" s="87">
        <f t="shared" si="49"/>
        <v>0</v>
      </c>
      <c r="L151" s="141">
        <f>L161+L156</f>
        <v>3957</v>
      </c>
      <c r="M151" s="141">
        <f>M161+M156</f>
        <v>22605.1</v>
      </c>
      <c r="N151" s="87">
        <f>N161</f>
        <v>26498</v>
      </c>
      <c r="O151" s="87">
        <f t="shared" si="49"/>
        <v>0</v>
      </c>
    </row>
    <row r="152" spans="1:15" s="134" customFormat="1" ht="40.5" customHeight="1" x14ac:dyDescent="0.3">
      <c r="A152" s="271"/>
      <c r="B152" s="268"/>
      <c r="C152" s="137" t="s">
        <v>22</v>
      </c>
      <c r="D152" s="87">
        <f t="shared" ref="D152:D156" si="50">E152+F152+G152+H152+I152+J152+K152+L152+M152+N152+O152</f>
        <v>0</v>
      </c>
      <c r="E152" s="87">
        <v>0</v>
      </c>
      <c r="F152" s="87">
        <v>0</v>
      </c>
      <c r="G152" s="87">
        <v>0</v>
      </c>
      <c r="H152" s="87">
        <v>0</v>
      </c>
      <c r="I152" s="87">
        <v>0</v>
      </c>
      <c r="J152" s="87">
        <v>0</v>
      </c>
      <c r="K152" s="87">
        <v>0</v>
      </c>
      <c r="L152" s="141">
        <v>0</v>
      </c>
      <c r="M152" s="201">
        <f t="shared" ref="M152:M162" si="51">N152+O152</f>
        <v>0</v>
      </c>
      <c r="N152" s="87">
        <v>0</v>
      </c>
      <c r="O152" s="94">
        <v>0</v>
      </c>
    </row>
    <row r="153" spans="1:15" s="134" customFormat="1" ht="40.5" customHeight="1" x14ac:dyDescent="0.3">
      <c r="A153" s="269" t="s">
        <v>331</v>
      </c>
      <c r="B153" s="266" t="s">
        <v>262</v>
      </c>
      <c r="C153" s="135" t="s">
        <v>178</v>
      </c>
      <c r="D153" s="87">
        <f t="shared" si="50"/>
        <v>88909.700000000012</v>
      </c>
      <c r="E153" s="87">
        <f>E154+E155+E156+E157</f>
        <v>0</v>
      </c>
      <c r="F153" s="87">
        <f t="shared" ref="F153" si="52">F154+F155+F156+F157</f>
        <v>0</v>
      </c>
      <c r="G153" s="87">
        <v>1419.6</v>
      </c>
      <c r="H153" s="87">
        <f>H155</f>
        <v>1053</v>
      </c>
      <c r="I153" s="87">
        <f t="shared" ref="I153:O153" si="53">I155</f>
        <v>16719.400000000001</v>
      </c>
      <c r="J153" s="87">
        <f t="shared" si="53"/>
        <v>9793.2999999999993</v>
      </c>
      <c r="K153" s="87">
        <f t="shared" si="53"/>
        <v>10002</v>
      </c>
      <c r="L153" s="141">
        <f>L155+L156</f>
        <v>11603.4</v>
      </c>
      <c r="M153" s="141">
        <f>M155+M156</f>
        <v>17686.7</v>
      </c>
      <c r="N153" s="87">
        <f t="shared" si="53"/>
        <v>14445.6</v>
      </c>
      <c r="O153" s="93">
        <f t="shared" si="53"/>
        <v>6186.7</v>
      </c>
    </row>
    <row r="154" spans="1:15" s="134" customFormat="1" ht="40.5" customHeight="1" x14ac:dyDescent="0.3">
      <c r="A154" s="270"/>
      <c r="B154" s="267"/>
      <c r="C154" s="135" t="s">
        <v>6</v>
      </c>
      <c r="D154" s="87">
        <f t="shared" si="50"/>
        <v>0</v>
      </c>
      <c r="E154" s="87">
        <v>0</v>
      </c>
      <c r="F154" s="87">
        <v>0</v>
      </c>
      <c r="G154" s="87">
        <v>0</v>
      </c>
      <c r="H154" s="87">
        <v>0</v>
      </c>
      <c r="I154" s="87">
        <v>0</v>
      </c>
      <c r="J154" s="87">
        <v>0</v>
      </c>
      <c r="K154" s="87">
        <v>0</v>
      </c>
      <c r="L154" s="141">
        <v>0</v>
      </c>
      <c r="M154" s="201">
        <v>0</v>
      </c>
      <c r="N154" s="87">
        <v>0</v>
      </c>
      <c r="O154" s="94">
        <v>0</v>
      </c>
    </row>
    <row r="155" spans="1:15" s="134" customFormat="1" ht="40.5" customHeight="1" x14ac:dyDescent="0.3">
      <c r="A155" s="270"/>
      <c r="B155" s="267"/>
      <c r="C155" s="137" t="s">
        <v>7</v>
      </c>
      <c r="D155" s="87">
        <f t="shared" si="50"/>
        <v>88909.700000000012</v>
      </c>
      <c r="E155" s="87">
        <v>0</v>
      </c>
      <c r="F155" s="87">
        <v>0</v>
      </c>
      <c r="G155" s="87">
        <v>1419.6</v>
      </c>
      <c r="H155" s="87">
        <v>1053</v>
      </c>
      <c r="I155" s="87">
        <v>16719.400000000001</v>
      </c>
      <c r="J155" s="87">
        <v>9793.2999999999993</v>
      </c>
      <c r="K155" s="87">
        <v>10002</v>
      </c>
      <c r="L155" s="141">
        <v>11603.4</v>
      </c>
      <c r="M155" s="201">
        <v>17686.7</v>
      </c>
      <c r="N155" s="87">
        <f>3000+2600+3000+2000+2345.6+1500</f>
        <v>14445.6</v>
      </c>
      <c r="O155" s="94">
        <f>1093.35+1000+1093.35+1000+1000+1000</f>
        <v>6186.7</v>
      </c>
    </row>
    <row r="156" spans="1:15" s="134" customFormat="1" ht="40.5" customHeight="1" x14ac:dyDescent="0.3">
      <c r="A156" s="270"/>
      <c r="B156" s="267"/>
      <c r="C156" s="137" t="s">
        <v>24</v>
      </c>
      <c r="D156" s="87">
        <f t="shared" si="50"/>
        <v>0</v>
      </c>
      <c r="E156" s="87">
        <v>0</v>
      </c>
      <c r="F156" s="87">
        <v>0</v>
      </c>
      <c r="G156" s="87">
        <v>0</v>
      </c>
      <c r="H156" s="87">
        <v>0</v>
      </c>
      <c r="I156" s="87">
        <v>0</v>
      </c>
      <c r="J156" s="87">
        <v>0</v>
      </c>
      <c r="K156" s="87">
        <v>0</v>
      </c>
      <c r="L156" s="141">
        <v>0</v>
      </c>
      <c r="M156" s="201">
        <v>0</v>
      </c>
      <c r="N156" s="87">
        <v>0</v>
      </c>
      <c r="O156" s="94">
        <v>0</v>
      </c>
    </row>
    <row r="157" spans="1:15" s="134" customFormat="1" ht="40.5" customHeight="1" x14ac:dyDescent="0.3">
      <c r="A157" s="271"/>
      <c r="B157" s="268"/>
      <c r="C157" s="137" t="s">
        <v>22</v>
      </c>
      <c r="D157" s="87">
        <f t="shared" ref="D157:D161" si="54">E157+F157+G157+H157+I157+J157+K157+L157+M157+N157+O157</f>
        <v>0</v>
      </c>
      <c r="E157" s="87">
        <v>0</v>
      </c>
      <c r="F157" s="87">
        <v>0</v>
      </c>
      <c r="G157" s="87">
        <v>0</v>
      </c>
      <c r="H157" s="87">
        <v>0</v>
      </c>
      <c r="I157" s="87">
        <v>0</v>
      </c>
      <c r="J157" s="87">
        <v>0</v>
      </c>
      <c r="K157" s="87">
        <v>0</v>
      </c>
      <c r="L157" s="141">
        <v>0</v>
      </c>
      <c r="M157" s="201">
        <v>0</v>
      </c>
      <c r="N157" s="87">
        <v>0</v>
      </c>
      <c r="O157" s="94">
        <v>0</v>
      </c>
    </row>
    <row r="158" spans="1:15" s="134" customFormat="1" ht="40.5" customHeight="1" x14ac:dyDescent="0.3">
      <c r="A158" s="269" t="s">
        <v>332</v>
      </c>
      <c r="B158" s="266" t="s">
        <v>265</v>
      </c>
      <c r="C158" s="135" t="s">
        <v>178</v>
      </c>
      <c r="D158" s="87">
        <f t="shared" si="54"/>
        <v>189951.3</v>
      </c>
      <c r="E158" s="87">
        <f>E159+E160+E161+E162</f>
        <v>0</v>
      </c>
      <c r="F158" s="87">
        <f t="shared" ref="F158" si="55">F159+F160+F161+F162</f>
        <v>0</v>
      </c>
      <c r="G158" s="87">
        <v>0</v>
      </c>
      <c r="H158" s="87">
        <f>H160</f>
        <v>0</v>
      </c>
      <c r="I158" s="87">
        <f t="shared" ref="I158:K158" si="56">I160</f>
        <v>0</v>
      </c>
      <c r="J158" s="87">
        <f t="shared" si="56"/>
        <v>0</v>
      </c>
      <c r="K158" s="87">
        <f t="shared" si="56"/>
        <v>0</v>
      </c>
      <c r="L158" s="141">
        <f>L161</f>
        <v>3957</v>
      </c>
      <c r="M158" s="141">
        <f>M161+M160</f>
        <v>85625.1</v>
      </c>
      <c r="N158" s="87">
        <f>N161+N160</f>
        <v>100369.2</v>
      </c>
      <c r="O158" s="87">
        <f t="shared" ref="O158" si="57">O161</f>
        <v>0</v>
      </c>
    </row>
    <row r="159" spans="1:15" s="134" customFormat="1" ht="40.5" customHeight="1" x14ac:dyDescent="0.3">
      <c r="A159" s="270"/>
      <c r="B159" s="267"/>
      <c r="C159" s="135" t="s">
        <v>6</v>
      </c>
      <c r="D159" s="87">
        <f t="shared" si="54"/>
        <v>0</v>
      </c>
      <c r="E159" s="87">
        <v>0</v>
      </c>
      <c r="F159" s="87">
        <v>0</v>
      </c>
      <c r="G159" s="87">
        <v>0</v>
      </c>
      <c r="H159" s="87">
        <v>0</v>
      </c>
      <c r="I159" s="87">
        <v>0</v>
      </c>
      <c r="J159" s="87">
        <v>0</v>
      </c>
      <c r="K159" s="87">
        <v>0</v>
      </c>
      <c r="L159" s="141">
        <v>0</v>
      </c>
      <c r="M159" s="201">
        <v>0</v>
      </c>
      <c r="N159" s="87">
        <v>0</v>
      </c>
      <c r="O159" s="94">
        <v>0</v>
      </c>
    </row>
    <row r="160" spans="1:15" s="134" customFormat="1" ht="40.5" customHeight="1" x14ac:dyDescent="0.3">
      <c r="A160" s="270"/>
      <c r="B160" s="267"/>
      <c r="C160" s="137" t="s">
        <v>7</v>
      </c>
      <c r="D160" s="87">
        <f t="shared" si="54"/>
        <v>136891.20000000001</v>
      </c>
      <c r="E160" s="87">
        <v>0</v>
      </c>
      <c r="F160" s="87">
        <v>0</v>
      </c>
      <c r="G160" s="87">
        <v>0</v>
      </c>
      <c r="H160" s="87">
        <v>0</v>
      </c>
      <c r="I160" s="87">
        <v>0</v>
      </c>
      <c r="J160" s="87">
        <v>0</v>
      </c>
      <c r="K160" s="87">
        <v>0</v>
      </c>
      <c r="L160" s="141">
        <v>0</v>
      </c>
      <c r="M160" s="201">
        <v>63020</v>
      </c>
      <c r="N160" s="87">
        <v>73871.199999999997</v>
      </c>
      <c r="O160" s="94">
        <v>0</v>
      </c>
    </row>
    <row r="161" spans="1:17" s="134" customFormat="1" ht="40.5" customHeight="1" x14ac:dyDescent="0.3">
      <c r="A161" s="270"/>
      <c r="B161" s="267"/>
      <c r="C161" s="137" t="s">
        <v>24</v>
      </c>
      <c r="D161" s="87">
        <f t="shared" si="54"/>
        <v>53060.1</v>
      </c>
      <c r="E161" s="87">
        <v>0</v>
      </c>
      <c r="F161" s="87">
        <v>0</v>
      </c>
      <c r="G161" s="87">
        <v>0</v>
      </c>
      <c r="H161" s="87">
        <v>0</v>
      </c>
      <c r="I161" s="87">
        <v>0</v>
      </c>
      <c r="J161" s="87">
        <v>0</v>
      </c>
      <c r="K161" s="87">
        <v>0</v>
      </c>
      <c r="L161" s="141">
        <v>3957</v>
      </c>
      <c r="M161" s="201">
        <v>22605.1</v>
      </c>
      <c r="N161" s="87">
        <v>26498</v>
      </c>
      <c r="O161" s="94">
        <v>0</v>
      </c>
    </row>
    <row r="162" spans="1:17" ht="42.75" customHeight="1" x14ac:dyDescent="0.2">
      <c r="A162" s="271"/>
      <c r="B162" s="268"/>
      <c r="C162" s="137" t="s">
        <v>22</v>
      </c>
      <c r="D162" s="87">
        <f t="shared" ref="D162" si="58">E162+F162+G162+H162+I162+J162+K162+L162+M162+N162+O162</f>
        <v>0</v>
      </c>
      <c r="E162" s="87">
        <v>0</v>
      </c>
      <c r="F162" s="87">
        <v>0</v>
      </c>
      <c r="G162" s="87">
        <v>0</v>
      </c>
      <c r="H162" s="87">
        <v>0</v>
      </c>
      <c r="I162" s="87">
        <v>0</v>
      </c>
      <c r="J162" s="87">
        <v>0</v>
      </c>
      <c r="K162" s="87">
        <v>0</v>
      </c>
      <c r="L162" s="141">
        <v>0</v>
      </c>
      <c r="M162" s="201">
        <f t="shared" si="51"/>
        <v>0</v>
      </c>
      <c r="N162" s="87">
        <v>0</v>
      </c>
      <c r="O162" s="94">
        <v>0</v>
      </c>
    </row>
    <row r="163" spans="1:17" ht="34.5" customHeight="1" x14ac:dyDescent="0.2">
      <c r="A163" s="142"/>
      <c r="B163" s="143"/>
      <c r="C163" s="144"/>
      <c r="D163" s="125"/>
      <c r="E163" s="125"/>
      <c r="F163" s="125"/>
      <c r="G163" s="125"/>
      <c r="H163" s="125"/>
      <c r="I163" s="125"/>
      <c r="J163" s="125"/>
      <c r="K163" s="125"/>
      <c r="L163" s="125"/>
      <c r="M163" s="125"/>
      <c r="N163" s="125"/>
      <c r="O163" s="145"/>
    </row>
    <row r="164" spans="1:17" s="127" customFormat="1" ht="90" customHeight="1" x14ac:dyDescent="0.35">
      <c r="B164" s="284" t="s">
        <v>336</v>
      </c>
      <c r="C164" s="285"/>
      <c r="J164" s="89" t="s">
        <v>334</v>
      </c>
      <c r="K164" s="89"/>
      <c r="L164" s="95"/>
      <c r="M164" s="95"/>
      <c r="N164" s="95"/>
      <c r="O164" s="95"/>
      <c r="P164" s="89"/>
      <c r="Q164" s="89"/>
    </row>
    <row r="165" spans="1:17" ht="15.75" customHeight="1" x14ac:dyDescent="0.25">
      <c r="B165" s="146"/>
      <c r="C165" s="146"/>
      <c r="D165" s="64"/>
      <c r="E165" s="64"/>
      <c r="F165" s="64"/>
      <c r="J165" s="90"/>
      <c r="K165" s="90"/>
      <c r="P165" s="90"/>
      <c r="Q165" s="90"/>
    </row>
    <row r="166" spans="1:17" ht="27" customHeight="1" x14ac:dyDescent="0.25">
      <c r="C166" s="64"/>
      <c r="D166" s="64"/>
      <c r="E166" s="64"/>
      <c r="F166" s="64"/>
    </row>
    <row r="167" spans="1:17" ht="33" customHeight="1" x14ac:dyDescent="0.2">
      <c r="A167" s="147"/>
      <c r="B167" s="147"/>
      <c r="C167" s="147"/>
      <c r="D167" s="147"/>
      <c r="E167" s="92"/>
      <c r="F167" s="92"/>
      <c r="G167" s="92"/>
      <c r="H167" s="92"/>
      <c r="I167" s="92"/>
      <c r="J167" s="92"/>
      <c r="K167" s="92"/>
      <c r="L167" s="96"/>
      <c r="M167" s="96"/>
      <c r="N167" s="96"/>
    </row>
    <row r="168" spans="1:17" hidden="1" x14ac:dyDescent="0.2"/>
    <row r="169" spans="1:17" ht="25.5" customHeight="1" x14ac:dyDescent="0.2"/>
    <row r="170" spans="1:17" ht="28.5" customHeight="1" x14ac:dyDescent="0.2"/>
    <row r="171" spans="1:17" ht="25.5" customHeight="1" x14ac:dyDescent="0.2"/>
    <row r="172" spans="1:17" ht="33" customHeight="1" x14ac:dyDescent="0.2"/>
    <row r="173" spans="1:17" s="147" customFormat="1" ht="39" customHeight="1" x14ac:dyDescent="0.2">
      <c r="A173" s="190"/>
      <c r="B173" s="148"/>
      <c r="C173" s="190"/>
      <c r="D173" s="290"/>
      <c r="E173" s="291"/>
      <c r="F173" s="291"/>
      <c r="G173" s="291"/>
      <c r="H173" s="291"/>
      <c r="I173" s="291"/>
      <c r="J173" s="291"/>
      <c r="K173" s="291"/>
      <c r="L173" s="97"/>
      <c r="M173" s="97"/>
      <c r="N173" s="97"/>
      <c r="O173" s="149"/>
    </row>
  </sheetData>
  <mergeCells count="69">
    <mergeCell ref="B113:B117"/>
    <mergeCell ref="A73:A77"/>
    <mergeCell ref="B73:B77"/>
    <mergeCell ref="B43:B47"/>
    <mergeCell ref="B33:B37"/>
    <mergeCell ref="A38:A42"/>
    <mergeCell ref="B38:B42"/>
    <mergeCell ref="A113:A117"/>
    <mergeCell ref="A33:A37"/>
    <mergeCell ref="A78:A82"/>
    <mergeCell ref="A93:A97"/>
    <mergeCell ref="B53:B57"/>
    <mergeCell ref="A53:A57"/>
    <mergeCell ref="A83:A87"/>
    <mergeCell ref="B83:B87"/>
    <mergeCell ref="A88:A92"/>
    <mergeCell ref="D173:K173"/>
    <mergeCell ref="B18:B22"/>
    <mergeCell ref="A18:A22"/>
    <mergeCell ref="A68:A72"/>
    <mergeCell ref="B68:B72"/>
    <mergeCell ref="A138:A142"/>
    <mergeCell ref="B138:B142"/>
    <mergeCell ref="A108:A112"/>
    <mergeCell ref="B108:B112"/>
    <mergeCell ref="B93:B97"/>
    <mergeCell ref="A98:A102"/>
    <mergeCell ref="B98:B102"/>
    <mergeCell ref="A133:A137"/>
    <mergeCell ref="A118:A122"/>
    <mergeCell ref="B118:B122"/>
    <mergeCell ref="A123:A127"/>
    <mergeCell ref="A43:A47"/>
    <mergeCell ref="A13:A17"/>
    <mergeCell ref="B23:B27"/>
    <mergeCell ref="A23:A27"/>
    <mergeCell ref="A28:A32"/>
    <mergeCell ref="B28:B32"/>
    <mergeCell ref="B63:B67"/>
    <mergeCell ref="A48:A52"/>
    <mergeCell ref="B48:B52"/>
    <mergeCell ref="A58:A62"/>
    <mergeCell ref="B58:B62"/>
    <mergeCell ref="B164:C164"/>
    <mergeCell ref="A148:A152"/>
    <mergeCell ref="B148:B152"/>
    <mergeCell ref="B133:B137"/>
    <mergeCell ref="A143:A147"/>
    <mergeCell ref="B143:B147"/>
    <mergeCell ref="A153:A157"/>
    <mergeCell ref="B153:B157"/>
    <mergeCell ref="A158:A162"/>
    <mergeCell ref="B158:B162"/>
    <mergeCell ref="L3:O5"/>
    <mergeCell ref="B123:B127"/>
    <mergeCell ref="A128:A132"/>
    <mergeCell ref="B128:B132"/>
    <mergeCell ref="D7:J7"/>
    <mergeCell ref="A103:A107"/>
    <mergeCell ref="B103:B107"/>
    <mergeCell ref="B88:B92"/>
    <mergeCell ref="B78:B82"/>
    <mergeCell ref="D11:O11"/>
    <mergeCell ref="A9:O9"/>
    <mergeCell ref="C11:C12"/>
    <mergeCell ref="A11:A12"/>
    <mergeCell ref="B11:B12"/>
    <mergeCell ref="B13:B17"/>
    <mergeCell ref="A63:A67"/>
  </mergeCells>
  <printOptions horizontalCentered="1"/>
  <pageMargins left="0.74803149606299213" right="0.74803149606299213" top="1.1811023622047245" bottom="0.74803149606299213" header="0.27559055118110237" footer="0.27559055118110237"/>
  <pageSetup paperSize="9" scale="43" firstPageNumber="163" fitToHeight="0" orientation="landscape" r:id="rId1"/>
  <headerFooter differentFirst="1" scaleWithDoc="0">
    <oddHeader>&amp;C&amp;P</oddHeader>
  </headerFooter>
  <rowBreaks count="7" manualBreakCount="7">
    <brk id="27" max="14" man="1"/>
    <brk id="47" max="14" man="1"/>
    <brk id="67" max="14" man="1"/>
    <brk id="87" max="14" man="1"/>
    <brk id="107" max="14" man="1"/>
    <brk id="127" max="14" man="1"/>
    <brk id="147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3"/>
  <sheetViews>
    <sheetView view="pageBreakPreview" topLeftCell="A3" zoomScale="68" zoomScaleNormal="55" zoomScaleSheetLayoutView="68" workbookViewId="0">
      <selection activeCell="B68" sqref="B68:B72"/>
    </sheetView>
  </sheetViews>
  <sheetFormatPr defaultColWidth="9.140625" defaultRowHeight="12.75" x14ac:dyDescent="0.2"/>
  <cols>
    <col min="1" max="1" width="21.5703125" style="91" customWidth="1"/>
    <col min="2" max="2" width="44" style="91" customWidth="1"/>
    <col min="3" max="3" width="35.28515625" style="91" customWidth="1"/>
    <col min="4" max="4" width="28.85546875" style="91" customWidth="1"/>
    <col min="5" max="5" width="23.42578125" style="91" customWidth="1"/>
    <col min="6" max="6" width="21.85546875" style="91" customWidth="1"/>
    <col min="7" max="7" width="24.7109375" style="91" customWidth="1"/>
    <col min="8" max="8" width="23.7109375" style="91" customWidth="1"/>
    <col min="9" max="9" width="23.42578125" style="91" customWidth="1"/>
    <col min="10" max="10" width="28.7109375" style="91" customWidth="1"/>
    <col min="11" max="11" width="27.5703125" style="91" customWidth="1"/>
    <col min="12" max="12" width="19.85546875" style="91" customWidth="1"/>
    <col min="13" max="13" width="17.5703125" style="91" customWidth="1"/>
    <col min="14" max="16384" width="9.140625" style="91"/>
  </cols>
  <sheetData>
    <row r="1" spans="1:13" hidden="1" x14ac:dyDescent="0.2"/>
    <row r="2" spans="1:13" ht="3.75" hidden="1" customHeight="1" x14ac:dyDescent="0.25">
      <c r="A2" s="126"/>
      <c r="B2" s="64"/>
      <c r="C2" s="64"/>
      <c r="D2" s="64"/>
      <c r="E2" s="64"/>
      <c r="F2" s="64"/>
      <c r="G2" s="64"/>
      <c r="H2" s="64"/>
      <c r="I2" s="64"/>
      <c r="J2" s="64"/>
    </row>
    <row r="3" spans="1:13" s="127" customFormat="1" ht="15" customHeight="1" x14ac:dyDescent="0.4">
      <c r="B3" s="111"/>
      <c r="C3" s="111"/>
      <c r="D3" s="168"/>
      <c r="E3" s="199"/>
      <c r="F3" s="169"/>
      <c r="G3" s="170"/>
      <c r="H3" s="128"/>
      <c r="I3" s="128"/>
      <c r="J3" s="128"/>
    </row>
    <row r="4" spans="1:13" s="127" customFormat="1" ht="15" customHeight="1" x14ac:dyDescent="0.4">
      <c r="B4" s="111"/>
      <c r="C4" s="111"/>
      <c r="D4" s="168"/>
      <c r="E4" s="199"/>
      <c r="F4" s="169"/>
      <c r="G4" s="128"/>
      <c r="H4" s="295" t="s">
        <v>273</v>
      </c>
      <c r="I4" s="296"/>
      <c r="J4" s="296"/>
    </row>
    <row r="5" spans="1:13" s="127" customFormat="1" ht="114.75" customHeight="1" x14ac:dyDescent="0.4">
      <c r="B5" s="111"/>
      <c r="C5" s="111"/>
      <c r="D5" s="168"/>
      <c r="E5" s="199"/>
      <c r="F5" s="169"/>
      <c r="G5" s="128"/>
      <c r="H5" s="296"/>
      <c r="I5" s="296"/>
      <c r="J5" s="296"/>
    </row>
    <row r="6" spans="1:13" s="127" customFormat="1" ht="12.75" hidden="1" customHeight="1" x14ac:dyDescent="0.4">
      <c r="B6" s="111"/>
      <c r="C6" s="111"/>
      <c r="D6" s="168"/>
      <c r="E6" s="199"/>
      <c r="F6" s="169"/>
      <c r="G6" s="128"/>
      <c r="H6" s="296"/>
      <c r="I6" s="296"/>
      <c r="J6" s="296"/>
    </row>
    <row r="7" spans="1:13" s="127" customFormat="1" ht="77.25" hidden="1" customHeight="1" x14ac:dyDescent="0.4">
      <c r="B7" s="111"/>
      <c r="C7" s="111"/>
      <c r="D7" s="272"/>
      <c r="E7" s="273"/>
      <c r="F7" s="273"/>
      <c r="G7" s="273"/>
      <c r="H7" s="273"/>
      <c r="I7" s="273"/>
      <c r="J7" s="273"/>
    </row>
    <row r="8" spans="1:13" s="127" customFormat="1" ht="65.25" hidden="1" customHeight="1" x14ac:dyDescent="0.4">
      <c r="A8" s="129"/>
      <c r="B8" s="111"/>
      <c r="C8" s="85"/>
      <c r="D8" s="85"/>
      <c r="E8" s="130"/>
      <c r="F8" s="85"/>
      <c r="G8" s="85"/>
      <c r="H8" s="85"/>
      <c r="I8" s="85"/>
      <c r="J8" s="85"/>
    </row>
    <row r="9" spans="1:13" s="127" customFormat="1" ht="102" customHeight="1" x14ac:dyDescent="0.35">
      <c r="A9" s="280" t="s">
        <v>275</v>
      </c>
      <c r="B9" s="281"/>
      <c r="C9" s="281"/>
      <c r="D9" s="281"/>
      <c r="E9" s="281"/>
      <c r="F9" s="281"/>
      <c r="G9" s="281"/>
      <c r="H9" s="281"/>
      <c r="I9" s="281"/>
      <c r="J9" s="281"/>
    </row>
    <row r="10" spans="1:13" ht="35.25" hidden="1" customHeight="1" x14ac:dyDescent="0.2">
      <c r="A10" s="131"/>
      <c r="B10" s="132"/>
      <c r="C10" s="86"/>
      <c r="D10" s="86"/>
      <c r="E10" s="86"/>
      <c r="F10" s="86"/>
      <c r="G10" s="86"/>
      <c r="H10" s="86"/>
      <c r="I10" s="86"/>
      <c r="J10" s="86"/>
    </row>
    <row r="11" spans="1:13" s="175" customFormat="1" ht="45" customHeight="1" x14ac:dyDescent="0.3">
      <c r="A11" s="283" t="s">
        <v>5</v>
      </c>
      <c r="B11" s="249" t="s">
        <v>17</v>
      </c>
      <c r="C11" s="283" t="s">
        <v>8</v>
      </c>
      <c r="D11" s="283" t="s">
        <v>21</v>
      </c>
      <c r="E11" s="254"/>
      <c r="F11" s="254"/>
      <c r="G11" s="254"/>
      <c r="H11" s="254"/>
      <c r="I11" s="254"/>
      <c r="J11" s="254"/>
    </row>
    <row r="12" spans="1:13" s="176" customFormat="1" ht="24" customHeight="1" x14ac:dyDescent="0.3">
      <c r="A12" s="283"/>
      <c r="B12" s="249"/>
      <c r="C12" s="283"/>
      <c r="D12" s="174" t="s">
        <v>42</v>
      </c>
      <c r="E12" s="200">
        <v>2025</v>
      </c>
      <c r="F12" s="174">
        <v>2026</v>
      </c>
      <c r="G12" s="174">
        <v>2027</v>
      </c>
      <c r="H12" s="174">
        <v>2028</v>
      </c>
      <c r="I12" s="174">
        <v>2029</v>
      </c>
      <c r="J12" s="174">
        <v>2030</v>
      </c>
    </row>
    <row r="13" spans="1:13" s="134" customFormat="1" ht="30" customHeight="1" x14ac:dyDescent="0.3">
      <c r="A13" s="269" t="s">
        <v>20</v>
      </c>
      <c r="B13" s="274" t="s">
        <v>176</v>
      </c>
      <c r="C13" s="135" t="s">
        <v>178</v>
      </c>
      <c r="D13" s="87">
        <f>SUM(E13:J13)</f>
        <v>1469070.2894866944</v>
      </c>
      <c r="E13" s="87">
        <f>E14+E15+E16+E17</f>
        <v>248550.2</v>
      </c>
      <c r="F13" s="87">
        <f>F14+F15+F16+F17</f>
        <v>225341.08</v>
      </c>
      <c r="G13" s="87">
        <f>G14+G15+G16+G17</f>
        <v>234354.72959999999</v>
      </c>
      <c r="H13" s="87">
        <f t="shared" ref="H13:I13" si="0">H14+H15+H16+H17</f>
        <v>243728.93038400001</v>
      </c>
      <c r="I13" s="87">
        <f t="shared" si="0"/>
        <v>253478.10759936</v>
      </c>
      <c r="J13" s="87">
        <f>J14+J15+J16+J17</f>
        <v>263617.24190333439</v>
      </c>
    </row>
    <row r="14" spans="1:13" s="134" customFormat="1" ht="39.75" customHeight="1" x14ac:dyDescent="0.3">
      <c r="A14" s="270"/>
      <c r="B14" s="274"/>
      <c r="C14" s="135" t="s">
        <v>9</v>
      </c>
      <c r="D14" s="87">
        <f t="shared" ref="D14:D17" si="1">SUM(E14:J14)</f>
        <v>0</v>
      </c>
      <c r="E14" s="87">
        <f t="shared" ref="E14:J17" si="2">E19+E79+E114</f>
        <v>0</v>
      </c>
      <c r="F14" s="87">
        <f t="shared" si="2"/>
        <v>0</v>
      </c>
      <c r="G14" s="87">
        <v>0</v>
      </c>
      <c r="H14" s="87">
        <f t="shared" si="2"/>
        <v>0</v>
      </c>
      <c r="I14" s="87">
        <f t="shared" si="2"/>
        <v>0</v>
      </c>
      <c r="J14" s="87">
        <f t="shared" si="2"/>
        <v>0</v>
      </c>
      <c r="K14" s="136" t="e">
        <f>274229.1-K15</f>
        <v>#REF!</v>
      </c>
    </row>
    <row r="15" spans="1:13" s="134" customFormat="1" ht="33" customHeight="1" x14ac:dyDescent="0.3">
      <c r="A15" s="270"/>
      <c r="B15" s="274"/>
      <c r="C15" s="137" t="s">
        <v>7</v>
      </c>
      <c r="D15" s="87">
        <f t="shared" si="1"/>
        <v>60296.930000000008</v>
      </c>
      <c r="E15" s="87">
        <f>E20+E148+E80+E115</f>
        <v>6261.2</v>
      </c>
      <c r="F15" s="87">
        <f t="shared" ref="F15" si="3">F20+F148</f>
        <v>9976.4599999999991</v>
      </c>
      <c r="G15" s="87">
        <f>G20+G148</f>
        <v>10375.52</v>
      </c>
      <c r="H15" s="87">
        <f>H20+H148</f>
        <v>10790.54</v>
      </c>
      <c r="I15" s="87">
        <f>I20+I148+I115</f>
        <v>11222.16</v>
      </c>
      <c r="J15" s="87">
        <f>J20+J148+J115+J80</f>
        <v>11671.05</v>
      </c>
      <c r="K15" s="136" t="e">
        <f>#REF!+#REF!</f>
        <v>#REF!</v>
      </c>
      <c r="L15" s="136" t="e">
        <f>#REF!+#REF!</f>
        <v>#REF!</v>
      </c>
      <c r="M15" s="136" t="e">
        <f>#REF!+#REF!</f>
        <v>#REF!</v>
      </c>
    </row>
    <row r="16" spans="1:13" s="134" customFormat="1" ht="44.25" customHeight="1" x14ac:dyDescent="0.3">
      <c r="A16" s="270"/>
      <c r="B16" s="274"/>
      <c r="C16" s="137" t="s">
        <v>24</v>
      </c>
      <c r="D16" s="87">
        <f>SUM(E16:J16)</f>
        <v>1295641.33</v>
      </c>
      <c r="E16" s="87">
        <f>E21+E81+E116+E156</f>
        <v>225233</v>
      </c>
      <c r="F16" s="87">
        <f t="shared" si="2"/>
        <v>197626.38</v>
      </c>
      <c r="G16" s="87">
        <f>G21+G81+G116</f>
        <v>205531.44</v>
      </c>
      <c r="H16" s="87">
        <f t="shared" si="2"/>
        <v>213752.71</v>
      </c>
      <c r="I16" s="87">
        <f t="shared" si="2"/>
        <v>222302.84</v>
      </c>
      <c r="J16" s="87">
        <f>J21+J81+J116</f>
        <v>231194.96000000002</v>
      </c>
      <c r="K16" s="136">
        <f>E16+F16+G16+H16+I16+J16</f>
        <v>1295641.33</v>
      </c>
      <c r="M16" s="136"/>
    </row>
    <row r="17" spans="1:13" s="134" customFormat="1" ht="45.75" customHeight="1" x14ac:dyDescent="0.3">
      <c r="A17" s="270"/>
      <c r="B17" s="274"/>
      <c r="C17" s="137" t="s">
        <v>22</v>
      </c>
      <c r="D17" s="87">
        <f t="shared" si="1"/>
        <v>113132.02948669443</v>
      </c>
      <c r="E17" s="87">
        <f t="shared" si="2"/>
        <v>17056</v>
      </c>
      <c r="F17" s="87">
        <f t="shared" si="2"/>
        <v>17738.240000000002</v>
      </c>
      <c r="G17" s="87">
        <f>G22+G82</f>
        <v>18447.7696</v>
      </c>
      <c r="H17" s="87">
        <f t="shared" ref="H17:J17" si="4">H22+H82</f>
        <v>19185.680384000003</v>
      </c>
      <c r="I17" s="87">
        <f t="shared" si="4"/>
        <v>19953.107599360006</v>
      </c>
      <c r="J17" s="87">
        <f t="shared" si="4"/>
        <v>20751.231903334403</v>
      </c>
      <c r="K17" s="136">
        <f>E14+E15+E16</f>
        <v>231494.2</v>
      </c>
      <c r="L17" s="136">
        <f>231494-K17</f>
        <v>-0.20000000001164153</v>
      </c>
      <c r="M17" s="136"/>
    </row>
    <row r="18" spans="1:13" s="134" customFormat="1" ht="32.25" customHeight="1" x14ac:dyDescent="0.3">
      <c r="A18" s="269" t="s">
        <v>25</v>
      </c>
      <c r="B18" s="275" t="s">
        <v>147</v>
      </c>
      <c r="C18" s="135" t="s">
        <v>178</v>
      </c>
      <c r="D18" s="87">
        <f>D19+D20+D21+D22</f>
        <v>1177888.4435083007</v>
      </c>
      <c r="E18" s="87">
        <f>E23+E28+E33+E38+E43+E48+E53+E58+E63+E68+E73</f>
        <v>206790</v>
      </c>
      <c r="F18" s="87">
        <f>F21+F22</f>
        <v>179291.09999999998</v>
      </c>
      <c r="G18" s="87">
        <f>SUM(G19:G22)</f>
        <v>186462.7372</v>
      </c>
      <c r="H18" s="87">
        <f t="shared" ref="H18:J18" si="5">SUM(H19:H22)</f>
        <v>193921.25108799999</v>
      </c>
      <c r="I18" s="87">
        <f t="shared" si="5"/>
        <v>201678.11393152</v>
      </c>
      <c r="J18" s="87">
        <f t="shared" si="5"/>
        <v>209745.24128878082</v>
      </c>
    </row>
    <row r="19" spans="1:13" s="134" customFormat="1" ht="27.75" customHeight="1" x14ac:dyDescent="0.3">
      <c r="A19" s="270"/>
      <c r="B19" s="275"/>
      <c r="C19" s="135" t="s">
        <v>6</v>
      </c>
      <c r="D19" s="87">
        <f>D24+D29+D34+D39+D44+D49+D54+D59+D64+D69+D74</f>
        <v>0</v>
      </c>
      <c r="E19" s="87">
        <f t="shared" ref="E19:J19" si="6">E24+E29+E34+E39+E44+E49+E54+E59+E64+E69+E74</f>
        <v>0</v>
      </c>
      <c r="F19" s="87">
        <f t="shared" si="6"/>
        <v>0</v>
      </c>
      <c r="G19" s="87">
        <v>0</v>
      </c>
      <c r="H19" s="87">
        <f t="shared" si="6"/>
        <v>0</v>
      </c>
      <c r="I19" s="87">
        <f t="shared" si="6"/>
        <v>0</v>
      </c>
      <c r="J19" s="87">
        <f t="shared" si="6"/>
        <v>0</v>
      </c>
    </row>
    <row r="20" spans="1:13" s="134" customFormat="1" ht="29.25" customHeight="1" x14ac:dyDescent="0.3">
      <c r="A20" s="270"/>
      <c r="B20" s="275"/>
      <c r="C20" s="137" t="s">
        <v>7</v>
      </c>
      <c r="D20" s="87">
        <f t="shared" ref="D20:D51" si="7">E20+F20+G20+H20+I20+J20</f>
        <v>0</v>
      </c>
      <c r="E20" s="87">
        <v>0</v>
      </c>
      <c r="F20" s="87">
        <f t="shared" ref="F20" si="8">F25+F30+F35+F40+F45+F50+F55+F65+F70+F75</f>
        <v>0</v>
      </c>
      <c r="G20" s="87">
        <f>G75</f>
        <v>0</v>
      </c>
      <c r="H20" s="87">
        <f>H30+H75</f>
        <v>0</v>
      </c>
      <c r="I20" s="87">
        <f>I75+I30</f>
        <v>0</v>
      </c>
      <c r="J20" s="87">
        <f>J75+J30+J70</f>
        <v>0</v>
      </c>
      <c r="K20" s="136"/>
      <c r="M20" s="136"/>
    </row>
    <row r="21" spans="1:13" s="134" customFormat="1" ht="46.5" customHeight="1" x14ac:dyDescent="0.3">
      <c r="A21" s="292"/>
      <c r="B21" s="275"/>
      <c r="C21" s="137" t="s">
        <v>24</v>
      </c>
      <c r="D21" s="87">
        <f t="shared" si="7"/>
        <v>1144776.6299999999</v>
      </c>
      <c r="E21" s="87">
        <f>E26+E31+E36+E41+E46+E51+E61+E66+E71+E76</f>
        <v>201798</v>
      </c>
      <c r="F21" s="87">
        <f t="shared" ref="F21:H21" si="9">F26+F31+F36+F41+F46+F51+F61+F66+F71+F76</f>
        <v>174099.41999999998</v>
      </c>
      <c r="G21" s="87">
        <f>G26+G31+G36+G41+G46+G51+G61+G66+G71+G76</f>
        <v>181063.39</v>
      </c>
      <c r="H21" s="87">
        <f t="shared" si="9"/>
        <v>188305.93</v>
      </c>
      <c r="I21" s="87">
        <f>I26+I31+I36+I41+I46+I51+I56+I61+I66+I71+I76-0.01</f>
        <v>195838.18</v>
      </c>
      <c r="J21" s="87">
        <f>J26+J31+J36+J41+J46+J51+J61+J66+J71+J76</f>
        <v>203671.71000000002</v>
      </c>
      <c r="K21" s="136"/>
    </row>
    <row r="22" spans="1:13" s="134" customFormat="1" ht="45.75" customHeight="1" x14ac:dyDescent="0.3">
      <c r="A22" s="270"/>
      <c r="B22" s="275"/>
      <c r="C22" s="137" t="s">
        <v>22</v>
      </c>
      <c r="D22" s="87">
        <f t="shared" si="7"/>
        <v>33111.813508300802</v>
      </c>
      <c r="E22" s="87">
        <f t="shared" ref="E22" si="10">E27+E32+E37+E42+E47+E52+E57+E62+E67+E72+E77</f>
        <v>4992</v>
      </c>
      <c r="F22" s="87">
        <f>F27+F32+F37+F42+F47+F52+F57+F62+F67+F72+F77</f>
        <v>5191.68</v>
      </c>
      <c r="G22" s="87">
        <f>G42</f>
        <v>5399.3472000000002</v>
      </c>
      <c r="H22" s="87">
        <f t="shared" ref="H22:J22" si="11">H42</f>
        <v>5615.3210880000006</v>
      </c>
      <c r="I22" s="87">
        <f>I42+I77</f>
        <v>5839.9339315200004</v>
      </c>
      <c r="J22" s="87">
        <f t="shared" si="11"/>
        <v>6073.5312887808004</v>
      </c>
      <c r="K22" s="136"/>
    </row>
    <row r="23" spans="1:13" s="134" customFormat="1" ht="36" hidden="1" customHeight="1" x14ac:dyDescent="0.3">
      <c r="A23" s="261" t="s">
        <v>249</v>
      </c>
      <c r="B23" s="261" t="s">
        <v>203</v>
      </c>
      <c r="C23" s="135" t="s">
        <v>178</v>
      </c>
      <c r="D23" s="87">
        <f t="shared" si="7"/>
        <v>0</v>
      </c>
      <c r="E23" s="87">
        <f>SUM(E24:E27)</f>
        <v>0</v>
      </c>
      <c r="F23" s="87">
        <f t="shared" ref="F23:G23" si="12">SUM(F24:F27)</f>
        <v>0</v>
      </c>
      <c r="G23" s="87">
        <f t="shared" si="12"/>
        <v>0</v>
      </c>
      <c r="H23" s="87">
        <f>H26</f>
        <v>0</v>
      </c>
      <c r="I23" s="87">
        <f t="shared" ref="I23:J23" si="13">I26</f>
        <v>0</v>
      </c>
      <c r="J23" s="87">
        <f t="shared" si="13"/>
        <v>0</v>
      </c>
    </row>
    <row r="24" spans="1:13" s="134" customFormat="1" ht="45.75" hidden="1" customHeight="1" x14ac:dyDescent="0.3">
      <c r="A24" s="286"/>
      <c r="B24" s="286"/>
      <c r="C24" s="135" t="s">
        <v>6</v>
      </c>
      <c r="D24" s="87">
        <f t="shared" si="7"/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87">
        <v>0</v>
      </c>
    </row>
    <row r="25" spans="1:13" s="134" customFormat="1" ht="40.5" hidden="1" customHeight="1" x14ac:dyDescent="0.3">
      <c r="A25" s="286"/>
      <c r="B25" s="286"/>
      <c r="C25" s="137" t="s">
        <v>7</v>
      </c>
      <c r="D25" s="87">
        <f t="shared" si="7"/>
        <v>0</v>
      </c>
      <c r="E25" s="87">
        <v>0</v>
      </c>
      <c r="F25" s="87">
        <v>0</v>
      </c>
      <c r="G25" s="87">
        <v>0</v>
      </c>
      <c r="H25" s="87">
        <v>0</v>
      </c>
      <c r="I25" s="87">
        <v>0</v>
      </c>
      <c r="J25" s="87">
        <v>0</v>
      </c>
    </row>
    <row r="26" spans="1:13" s="134" customFormat="1" ht="43.5" hidden="1" customHeight="1" x14ac:dyDescent="0.3">
      <c r="A26" s="287"/>
      <c r="B26" s="262"/>
      <c r="C26" s="137" t="s">
        <v>24</v>
      </c>
      <c r="D26" s="87">
        <f t="shared" si="7"/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87">
        <v>0</v>
      </c>
    </row>
    <row r="27" spans="1:13" s="134" customFormat="1" ht="42.75" hidden="1" customHeight="1" x14ac:dyDescent="0.3">
      <c r="A27" s="288"/>
      <c r="B27" s="263"/>
      <c r="C27" s="137" t="s">
        <v>22</v>
      </c>
      <c r="D27" s="87">
        <f t="shared" si="7"/>
        <v>0</v>
      </c>
      <c r="E27" s="87">
        <v>0</v>
      </c>
      <c r="F27" s="87">
        <v>0</v>
      </c>
      <c r="G27" s="87">
        <v>0</v>
      </c>
      <c r="H27" s="87">
        <v>0</v>
      </c>
      <c r="I27" s="87">
        <v>0</v>
      </c>
      <c r="J27" s="87">
        <v>0</v>
      </c>
    </row>
    <row r="28" spans="1:13" s="134" customFormat="1" ht="33.75" customHeight="1" x14ac:dyDescent="0.3">
      <c r="A28" s="250" t="s">
        <v>311</v>
      </c>
      <c r="B28" s="250" t="s">
        <v>96</v>
      </c>
      <c r="C28" s="135" t="s">
        <v>178</v>
      </c>
      <c r="D28" s="87">
        <f t="shared" si="7"/>
        <v>99488.35</v>
      </c>
      <c r="E28" s="87">
        <f>SUM(E29:E32)</f>
        <v>14297</v>
      </c>
      <c r="F28" s="87">
        <f>F32+F31</f>
        <v>15728.63</v>
      </c>
      <c r="G28" s="87">
        <f>G32+G31</f>
        <v>16357.78</v>
      </c>
      <c r="H28" s="87">
        <f t="shared" ref="H28:J28" si="14">H29+H30+H31+H32</f>
        <v>17012.09</v>
      </c>
      <c r="I28" s="87">
        <f t="shared" si="14"/>
        <v>17692.580000000002</v>
      </c>
      <c r="J28" s="87">
        <f t="shared" si="14"/>
        <v>18400.27</v>
      </c>
    </row>
    <row r="29" spans="1:13" s="134" customFormat="1" ht="43.5" customHeight="1" x14ac:dyDescent="0.3">
      <c r="A29" s="250"/>
      <c r="B29" s="250"/>
      <c r="C29" s="135" t="s">
        <v>6</v>
      </c>
      <c r="D29" s="87">
        <f t="shared" si="7"/>
        <v>0</v>
      </c>
      <c r="E29" s="87">
        <v>0</v>
      </c>
      <c r="F29" s="87">
        <v>0</v>
      </c>
      <c r="G29" s="87">
        <v>0</v>
      </c>
      <c r="H29" s="87">
        <v>0</v>
      </c>
      <c r="I29" s="87">
        <v>0</v>
      </c>
      <c r="J29" s="87">
        <v>0</v>
      </c>
    </row>
    <row r="30" spans="1:13" s="134" customFormat="1" ht="36" customHeight="1" x14ac:dyDescent="0.3">
      <c r="A30" s="250"/>
      <c r="B30" s="250"/>
      <c r="C30" s="137" t="s">
        <v>7</v>
      </c>
      <c r="D30" s="87">
        <f t="shared" si="7"/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87">
        <v>0</v>
      </c>
    </row>
    <row r="31" spans="1:13" s="134" customFormat="1" ht="38.25" customHeight="1" x14ac:dyDescent="0.3">
      <c r="A31" s="289"/>
      <c r="B31" s="251"/>
      <c r="C31" s="137" t="s">
        <v>24</v>
      </c>
      <c r="D31" s="87">
        <f t="shared" si="7"/>
        <v>99488.35</v>
      </c>
      <c r="E31" s="87">
        <f>300+4002+2025+3071+3570+1329</f>
        <v>14297</v>
      </c>
      <c r="F31" s="87">
        <v>15728.63</v>
      </c>
      <c r="G31" s="87">
        <v>16357.78</v>
      </c>
      <c r="H31" s="87">
        <v>17012.09</v>
      </c>
      <c r="I31" s="87">
        <v>17692.580000000002</v>
      </c>
      <c r="J31" s="87">
        <v>18400.27</v>
      </c>
      <c r="K31" s="136" t="e">
        <f>#REF!+#REF!</f>
        <v>#REF!</v>
      </c>
      <c r="M31" s="136"/>
    </row>
    <row r="32" spans="1:13" s="134" customFormat="1" ht="42" customHeight="1" x14ac:dyDescent="0.3">
      <c r="A32" s="289"/>
      <c r="B32" s="251"/>
      <c r="C32" s="137" t="s">
        <v>22</v>
      </c>
      <c r="D32" s="87">
        <f t="shared" si="7"/>
        <v>0</v>
      </c>
      <c r="E32" s="87">
        <v>0</v>
      </c>
      <c r="F32" s="87">
        <v>0</v>
      </c>
      <c r="G32" s="87">
        <v>0</v>
      </c>
      <c r="H32" s="87">
        <v>0</v>
      </c>
      <c r="I32" s="87">
        <v>0</v>
      </c>
      <c r="J32" s="87">
        <v>0</v>
      </c>
    </row>
    <row r="33" spans="1:13" s="134" customFormat="1" ht="30.75" customHeight="1" x14ac:dyDescent="0.3">
      <c r="A33" s="261" t="s">
        <v>312</v>
      </c>
      <c r="B33" s="261" t="s">
        <v>202</v>
      </c>
      <c r="C33" s="135" t="s">
        <v>178</v>
      </c>
      <c r="D33" s="87">
        <f t="shared" si="7"/>
        <v>42088.04</v>
      </c>
      <c r="E33" s="87">
        <f>E34+E35+E36+E37</f>
        <v>8438</v>
      </c>
      <c r="F33" s="87">
        <f t="shared" ref="F33:J33" si="15">F34+F35+F36+F37</f>
        <v>6212.71</v>
      </c>
      <c r="G33" s="87">
        <f t="shared" si="15"/>
        <v>6461.21</v>
      </c>
      <c r="H33" s="87">
        <f t="shared" si="15"/>
        <v>6719.66</v>
      </c>
      <c r="I33" s="87">
        <f t="shared" si="15"/>
        <v>6988.46</v>
      </c>
      <c r="J33" s="87">
        <f t="shared" si="15"/>
        <v>7268</v>
      </c>
      <c r="K33" s="136">
        <f>21394.24-309.5-1500</f>
        <v>19584.740000000002</v>
      </c>
      <c r="M33" s="136"/>
    </row>
    <row r="34" spans="1:13" s="134" customFormat="1" ht="31.5" customHeight="1" x14ac:dyDescent="0.3">
      <c r="A34" s="286"/>
      <c r="B34" s="286"/>
      <c r="C34" s="135" t="s">
        <v>6</v>
      </c>
      <c r="D34" s="87">
        <f t="shared" si="7"/>
        <v>0</v>
      </c>
      <c r="E34" s="87">
        <v>0</v>
      </c>
      <c r="F34" s="87">
        <v>0</v>
      </c>
      <c r="G34" s="87">
        <v>0</v>
      </c>
      <c r="H34" s="87">
        <v>0</v>
      </c>
      <c r="I34" s="87">
        <v>0</v>
      </c>
      <c r="J34" s="87">
        <v>0</v>
      </c>
      <c r="M34" s="136" t="e">
        <f>#REF!+#REF!</f>
        <v>#REF!</v>
      </c>
    </row>
    <row r="35" spans="1:13" s="134" customFormat="1" ht="26.25" customHeight="1" x14ac:dyDescent="0.3">
      <c r="A35" s="286"/>
      <c r="B35" s="286"/>
      <c r="C35" s="137" t="s">
        <v>7</v>
      </c>
      <c r="D35" s="87">
        <f t="shared" si="7"/>
        <v>0</v>
      </c>
      <c r="E35" s="87">
        <v>0</v>
      </c>
      <c r="F35" s="87">
        <v>0</v>
      </c>
      <c r="G35" s="87">
        <v>0</v>
      </c>
      <c r="H35" s="87">
        <v>0</v>
      </c>
      <c r="I35" s="87">
        <v>0</v>
      </c>
      <c r="J35" s="87">
        <v>0</v>
      </c>
    </row>
    <row r="36" spans="1:13" s="134" customFormat="1" ht="45.75" customHeight="1" x14ac:dyDescent="0.3">
      <c r="A36" s="287"/>
      <c r="B36" s="262"/>
      <c r="C36" s="137" t="s">
        <v>24</v>
      </c>
      <c r="D36" s="87">
        <f t="shared" si="7"/>
        <v>42088.04</v>
      </c>
      <c r="E36" s="87">
        <f>2668+1120+500+600+3550</f>
        <v>8438</v>
      </c>
      <c r="F36" s="87">
        <v>6212.71</v>
      </c>
      <c r="G36" s="87">
        <v>6461.21</v>
      </c>
      <c r="H36" s="87">
        <v>6719.66</v>
      </c>
      <c r="I36" s="87">
        <v>6988.46</v>
      </c>
      <c r="J36" s="87">
        <v>7268</v>
      </c>
    </row>
    <row r="37" spans="1:13" s="134" customFormat="1" ht="40.5" customHeight="1" x14ac:dyDescent="0.3">
      <c r="A37" s="288"/>
      <c r="B37" s="263"/>
      <c r="C37" s="137" t="s">
        <v>22</v>
      </c>
      <c r="D37" s="87">
        <f t="shared" si="7"/>
        <v>0</v>
      </c>
      <c r="E37" s="87">
        <v>0</v>
      </c>
      <c r="F37" s="87">
        <v>0</v>
      </c>
      <c r="G37" s="87">
        <v>0</v>
      </c>
      <c r="H37" s="87">
        <v>0</v>
      </c>
      <c r="I37" s="87">
        <v>0</v>
      </c>
      <c r="J37" s="87">
        <v>0</v>
      </c>
    </row>
    <row r="38" spans="1:13" s="134" customFormat="1" ht="35.25" customHeight="1" x14ac:dyDescent="0.3">
      <c r="A38" s="261" t="s">
        <v>313</v>
      </c>
      <c r="B38" s="261" t="s">
        <v>39</v>
      </c>
      <c r="C38" s="135" t="s">
        <v>178</v>
      </c>
      <c r="D38" s="87">
        <f t="shared" si="7"/>
        <v>94021.183508300819</v>
      </c>
      <c r="E38" s="87">
        <f>SUM(E39:E42)</f>
        <v>28990</v>
      </c>
      <c r="F38" s="87">
        <f>F41+F42</f>
        <v>12006.52</v>
      </c>
      <c r="G38" s="87">
        <f>G41+G42</f>
        <v>12486.7772</v>
      </c>
      <c r="H38" s="87">
        <f t="shared" ref="H38:J38" si="16">H39+H40+H41+H42</f>
        <v>12986.251088000001</v>
      </c>
      <c r="I38" s="87">
        <f t="shared" si="16"/>
        <v>13505.703931520002</v>
      </c>
      <c r="J38" s="87">
        <f t="shared" si="16"/>
        <v>14045.931288780801</v>
      </c>
    </row>
    <row r="39" spans="1:13" s="134" customFormat="1" ht="30.75" customHeight="1" x14ac:dyDescent="0.3">
      <c r="A39" s="286"/>
      <c r="B39" s="286"/>
      <c r="C39" s="135" t="s">
        <v>6</v>
      </c>
      <c r="D39" s="87">
        <f t="shared" si="7"/>
        <v>0</v>
      </c>
      <c r="E39" s="87">
        <v>0</v>
      </c>
      <c r="F39" s="87">
        <v>0</v>
      </c>
      <c r="G39" s="87">
        <v>0</v>
      </c>
      <c r="H39" s="87">
        <v>0</v>
      </c>
      <c r="I39" s="87">
        <v>0</v>
      </c>
      <c r="J39" s="87">
        <v>0</v>
      </c>
    </row>
    <row r="40" spans="1:13" s="134" customFormat="1" ht="31.5" customHeight="1" x14ac:dyDescent="0.3">
      <c r="A40" s="286"/>
      <c r="B40" s="286"/>
      <c r="C40" s="137" t="s">
        <v>7</v>
      </c>
      <c r="D40" s="87">
        <f t="shared" si="7"/>
        <v>0</v>
      </c>
      <c r="E40" s="87">
        <v>0</v>
      </c>
      <c r="F40" s="87">
        <v>0</v>
      </c>
      <c r="G40" s="87">
        <v>0</v>
      </c>
      <c r="H40" s="87">
        <v>0</v>
      </c>
      <c r="I40" s="87">
        <v>0</v>
      </c>
      <c r="J40" s="87">
        <v>0</v>
      </c>
    </row>
    <row r="41" spans="1:13" s="134" customFormat="1" ht="45.75" customHeight="1" x14ac:dyDescent="0.3">
      <c r="A41" s="287"/>
      <c r="B41" s="262"/>
      <c r="C41" s="137" t="s">
        <v>24</v>
      </c>
      <c r="D41" s="87">
        <f t="shared" si="7"/>
        <v>60909.37</v>
      </c>
      <c r="E41" s="87">
        <f>23998</f>
        <v>23998</v>
      </c>
      <c r="F41" s="87">
        <v>6814.84</v>
      </c>
      <c r="G41" s="87">
        <v>7087.43</v>
      </c>
      <c r="H41" s="87">
        <v>7370.93</v>
      </c>
      <c r="I41" s="87">
        <v>7665.77</v>
      </c>
      <c r="J41" s="87">
        <v>7972.4</v>
      </c>
    </row>
    <row r="42" spans="1:13" s="134" customFormat="1" ht="48" customHeight="1" x14ac:dyDescent="0.3">
      <c r="A42" s="288"/>
      <c r="B42" s="263"/>
      <c r="C42" s="137" t="s">
        <v>22</v>
      </c>
      <c r="D42" s="87">
        <f t="shared" si="7"/>
        <v>33111.813508300802</v>
      </c>
      <c r="E42" s="87">
        <f>'5 финансирование'!O42*1.04</f>
        <v>4992</v>
      </c>
      <c r="F42" s="87">
        <f>E42*1.04</f>
        <v>5191.68</v>
      </c>
      <c r="G42" s="87">
        <f t="shared" ref="G42:J42" si="17">F42*1.04</f>
        <v>5399.3472000000002</v>
      </c>
      <c r="H42" s="87">
        <f t="shared" si="17"/>
        <v>5615.3210880000006</v>
      </c>
      <c r="I42" s="87">
        <f t="shared" si="17"/>
        <v>5839.9339315200004</v>
      </c>
      <c r="J42" s="87">
        <f t="shared" si="17"/>
        <v>6073.5312887808004</v>
      </c>
    </row>
    <row r="43" spans="1:13" s="134" customFormat="1" ht="30" customHeight="1" x14ac:dyDescent="0.3">
      <c r="A43" s="261" t="s">
        <v>250</v>
      </c>
      <c r="B43" s="261" t="s">
        <v>181</v>
      </c>
      <c r="C43" s="135" t="s">
        <v>178</v>
      </c>
      <c r="D43" s="87">
        <f t="shared" si="7"/>
        <v>2738</v>
      </c>
      <c r="E43" s="87">
        <f>E44+E45+E46+E47</f>
        <v>2738</v>
      </c>
      <c r="F43" s="87">
        <f t="shared" ref="F43:J43" si="18">F44+F45+F46+F47</f>
        <v>0</v>
      </c>
      <c r="G43" s="87">
        <f>G46</f>
        <v>0</v>
      </c>
      <c r="H43" s="87">
        <f t="shared" si="18"/>
        <v>0</v>
      </c>
      <c r="I43" s="87">
        <f t="shared" si="18"/>
        <v>0</v>
      </c>
      <c r="J43" s="87">
        <f t="shared" si="18"/>
        <v>0</v>
      </c>
    </row>
    <row r="44" spans="1:13" s="134" customFormat="1" ht="28.5" customHeight="1" x14ac:dyDescent="0.3">
      <c r="A44" s="286"/>
      <c r="B44" s="286"/>
      <c r="C44" s="135" t="s">
        <v>6</v>
      </c>
      <c r="D44" s="87">
        <f t="shared" si="7"/>
        <v>0</v>
      </c>
      <c r="E44" s="87">
        <v>0</v>
      </c>
      <c r="F44" s="87">
        <v>0</v>
      </c>
      <c r="G44" s="87">
        <v>0</v>
      </c>
      <c r="H44" s="87">
        <v>0</v>
      </c>
      <c r="I44" s="87">
        <v>0</v>
      </c>
      <c r="J44" s="87">
        <v>0</v>
      </c>
    </row>
    <row r="45" spans="1:13" s="134" customFormat="1" ht="39.75" customHeight="1" x14ac:dyDescent="0.3">
      <c r="A45" s="286"/>
      <c r="B45" s="286"/>
      <c r="C45" s="137" t="s">
        <v>7</v>
      </c>
      <c r="D45" s="87">
        <f t="shared" si="7"/>
        <v>0</v>
      </c>
      <c r="E45" s="87">
        <v>0</v>
      </c>
      <c r="F45" s="87">
        <v>0</v>
      </c>
      <c r="G45" s="87">
        <v>0</v>
      </c>
      <c r="H45" s="87">
        <v>0</v>
      </c>
      <c r="I45" s="87">
        <v>0</v>
      </c>
      <c r="J45" s="87">
        <v>0</v>
      </c>
    </row>
    <row r="46" spans="1:13" s="134" customFormat="1" ht="46.5" customHeight="1" x14ac:dyDescent="0.3">
      <c r="A46" s="287"/>
      <c r="B46" s="262"/>
      <c r="C46" s="137" t="s">
        <v>24</v>
      </c>
      <c r="D46" s="87">
        <f t="shared" si="7"/>
        <v>2738</v>
      </c>
      <c r="E46" s="87">
        <v>2738</v>
      </c>
      <c r="F46" s="87">
        <v>0</v>
      </c>
      <c r="G46" s="87">
        <v>0</v>
      </c>
      <c r="H46" s="87">
        <v>0</v>
      </c>
      <c r="I46" s="87">
        <v>0</v>
      </c>
      <c r="J46" s="87">
        <v>0</v>
      </c>
    </row>
    <row r="47" spans="1:13" s="134" customFormat="1" ht="48.75" customHeight="1" x14ac:dyDescent="0.3">
      <c r="A47" s="288"/>
      <c r="B47" s="263"/>
      <c r="C47" s="137" t="s">
        <v>22</v>
      </c>
      <c r="D47" s="87">
        <f t="shared" si="7"/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3" s="134" customFormat="1" ht="69.75" hidden="1" customHeight="1" x14ac:dyDescent="0.3">
      <c r="A48" s="274" t="s">
        <v>251</v>
      </c>
      <c r="B48" s="275" t="s">
        <v>38</v>
      </c>
      <c r="C48" s="135" t="s">
        <v>178</v>
      </c>
      <c r="D48" s="87">
        <f t="shared" si="7"/>
        <v>0</v>
      </c>
      <c r="E48" s="87">
        <f>E49+E50+E51+E52</f>
        <v>0</v>
      </c>
      <c r="F48" s="87">
        <f t="shared" ref="F48:G48" si="19">F49+F50+F51+F52</f>
        <v>0</v>
      </c>
      <c r="G48" s="87">
        <f t="shared" si="19"/>
        <v>0</v>
      </c>
      <c r="H48" s="87">
        <f t="shared" ref="H48:J48" si="20">H49+H50+H51+H52</f>
        <v>0</v>
      </c>
      <c r="I48" s="87">
        <f t="shared" si="20"/>
        <v>0</v>
      </c>
      <c r="J48" s="87">
        <f t="shared" si="20"/>
        <v>0</v>
      </c>
    </row>
    <row r="49" spans="1:10" s="134" customFormat="1" ht="40.5" hidden="1" customHeight="1" x14ac:dyDescent="0.3">
      <c r="A49" s="274"/>
      <c r="B49" s="275"/>
      <c r="C49" s="135" t="s">
        <v>6</v>
      </c>
      <c r="D49" s="87">
        <f t="shared" si="7"/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s="134" customFormat="1" ht="81.75" hidden="1" customHeight="1" x14ac:dyDescent="0.3">
      <c r="A50" s="274"/>
      <c r="B50" s="275"/>
      <c r="C50" s="137" t="s">
        <v>7</v>
      </c>
      <c r="D50" s="87">
        <f t="shared" si="7"/>
        <v>0</v>
      </c>
      <c r="E50" s="87">
        <v>0</v>
      </c>
      <c r="F50" s="87">
        <v>0</v>
      </c>
      <c r="G50" s="87">
        <v>0</v>
      </c>
      <c r="H50" s="87">
        <v>0</v>
      </c>
      <c r="I50" s="87">
        <v>0</v>
      </c>
      <c r="J50" s="87">
        <v>0</v>
      </c>
    </row>
    <row r="51" spans="1:10" s="134" customFormat="1" ht="67.5" hidden="1" customHeight="1" x14ac:dyDescent="0.3">
      <c r="A51" s="274"/>
      <c r="B51" s="275"/>
      <c r="C51" s="137" t="s">
        <v>24</v>
      </c>
      <c r="D51" s="87">
        <f t="shared" si="7"/>
        <v>0</v>
      </c>
      <c r="E51" s="87">
        <v>0</v>
      </c>
      <c r="F51" s="87">
        <v>0</v>
      </c>
      <c r="G51" s="87">
        <v>0</v>
      </c>
      <c r="H51" s="87">
        <f t="shared" ref="H51:J51" si="21">G51*1.04</f>
        <v>0</v>
      </c>
      <c r="I51" s="87">
        <f t="shared" si="21"/>
        <v>0</v>
      </c>
      <c r="J51" s="87">
        <f t="shared" si="21"/>
        <v>0</v>
      </c>
    </row>
    <row r="52" spans="1:10" s="134" customFormat="1" ht="61.5" hidden="1" customHeight="1" x14ac:dyDescent="0.3">
      <c r="A52" s="274"/>
      <c r="B52" s="275"/>
      <c r="C52" s="137" t="s">
        <v>22</v>
      </c>
      <c r="D52" s="87">
        <f t="shared" ref="D52:D83" si="22">E52+F52+G52+H52+I52+J52</f>
        <v>0</v>
      </c>
      <c r="E52" s="87">
        <v>0</v>
      </c>
      <c r="F52" s="87">
        <v>0</v>
      </c>
      <c r="G52" s="87">
        <v>0</v>
      </c>
      <c r="H52" s="87">
        <v>0</v>
      </c>
      <c r="I52" s="87">
        <v>0</v>
      </c>
      <c r="J52" s="87">
        <v>0</v>
      </c>
    </row>
    <row r="53" spans="1:10" s="134" customFormat="1" ht="65.25" hidden="1" customHeight="1" x14ac:dyDescent="0.3">
      <c r="A53" s="274" t="s">
        <v>252</v>
      </c>
      <c r="B53" s="266" t="s">
        <v>84</v>
      </c>
      <c r="C53" s="135" t="s">
        <v>178</v>
      </c>
      <c r="D53" s="87">
        <f t="shared" si="22"/>
        <v>0</v>
      </c>
      <c r="E53" s="87">
        <v>0</v>
      </c>
      <c r="F53" s="87">
        <v>0</v>
      </c>
      <c r="G53" s="87">
        <v>0</v>
      </c>
      <c r="H53" s="87">
        <v>0</v>
      </c>
      <c r="I53" s="87">
        <v>0</v>
      </c>
      <c r="J53" s="87">
        <v>0</v>
      </c>
    </row>
    <row r="54" spans="1:10" s="134" customFormat="1" ht="38.25" hidden="1" customHeight="1" x14ac:dyDescent="0.3">
      <c r="A54" s="274"/>
      <c r="B54" s="267"/>
      <c r="C54" s="135" t="s">
        <v>6</v>
      </c>
      <c r="D54" s="87">
        <f t="shared" si="22"/>
        <v>0</v>
      </c>
      <c r="E54" s="87">
        <v>0</v>
      </c>
      <c r="F54" s="87">
        <v>0</v>
      </c>
      <c r="G54" s="87">
        <v>0</v>
      </c>
      <c r="H54" s="87">
        <v>0</v>
      </c>
      <c r="I54" s="87">
        <v>0</v>
      </c>
      <c r="J54" s="87">
        <v>0</v>
      </c>
    </row>
    <row r="55" spans="1:10" s="134" customFormat="1" ht="46.5" hidden="1" customHeight="1" x14ac:dyDescent="0.3">
      <c r="A55" s="274"/>
      <c r="B55" s="267"/>
      <c r="C55" s="137" t="s">
        <v>7</v>
      </c>
      <c r="D55" s="87">
        <f t="shared" si="22"/>
        <v>0</v>
      </c>
      <c r="E55" s="87">
        <v>0</v>
      </c>
      <c r="F55" s="87">
        <v>0</v>
      </c>
      <c r="G55" s="87">
        <v>0</v>
      </c>
      <c r="H55" s="87">
        <v>0</v>
      </c>
      <c r="I55" s="87">
        <v>0</v>
      </c>
      <c r="J55" s="87">
        <v>0</v>
      </c>
    </row>
    <row r="56" spans="1:10" s="134" customFormat="1" ht="44.25" hidden="1" customHeight="1" x14ac:dyDescent="0.3">
      <c r="A56" s="274"/>
      <c r="B56" s="267"/>
      <c r="C56" s="137" t="s">
        <v>24</v>
      </c>
      <c r="D56" s="87">
        <f t="shared" si="22"/>
        <v>0</v>
      </c>
      <c r="E56" s="87">
        <v>0</v>
      </c>
      <c r="F56" s="87">
        <v>0</v>
      </c>
      <c r="G56" s="87">
        <v>0</v>
      </c>
      <c r="H56" s="87">
        <v>0</v>
      </c>
      <c r="I56" s="87">
        <v>0</v>
      </c>
      <c r="J56" s="87">
        <v>0</v>
      </c>
    </row>
    <row r="57" spans="1:10" s="134" customFormat="1" ht="34.5" hidden="1" customHeight="1" x14ac:dyDescent="0.3">
      <c r="A57" s="274"/>
      <c r="B57" s="268"/>
      <c r="C57" s="137" t="s">
        <v>22</v>
      </c>
      <c r="D57" s="87">
        <f t="shared" si="22"/>
        <v>0</v>
      </c>
      <c r="E57" s="87">
        <v>0</v>
      </c>
      <c r="F57" s="87">
        <v>0</v>
      </c>
      <c r="G57" s="87">
        <v>0</v>
      </c>
      <c r="H57" s="87">
        <v>0</v>
      </c>
      <c r="I57" s="87">
        <v>0</v>
      </c>
      <c r="J57" s="87">
        <v>0</v>
      </c>
    </row>
    <row r="58" spans="1:10" s="134" customFormat="1" ht="30.75" hidden="1" customHeight="1" x14ac:dyDescent="0.3">
      <c r="A58" s="274" t="s">
        <v>253</v>
      </c>
      <c r="B58" s="275" t="s">
        <v>179</v>
      </c>
      <c r="C58" s="135" t="s">
        <v>178</v>
      </c>
      <c r="D58" s="87">
        <f t="shared" si="22"/>
        <v>0</v>
      </c>
      <c r="E58" s="87">
        <f>E59+E60+E61+E62</f>
        <v>0</v>
      </c>
      <c r="F58" s="87">
        <f>F59+F60+F61+F62</f>
        <v>0</v>
      </c>
      <c r="G58" s="87">
        <f>G61</f>
        <v>0</v>
      </c>
      <c r="H58" s="87">
        <f>H61</f>
        <v>0</v>
      </c>
      <c r="I58" s="87">
        <f t="shared" ref="I58:J58" si="23">I61</f>
        <v>0</v>
      </c>
      <c r="J58" s="87">
        <f t="shared" si="23"/>
        <v>0</v>
      </c>
    </row>
    <row r="59" spans="1:10" s="134" customFormat="1" ht="35.25" hidden="1" customHeight="1" x14ac:dyDescent="0.3">
      <c r="A59" s="274"/>
      <c r="B59" s="275"/>
      <c r="C59" s="135" t="s">
        <v>6</v>
      </c>
      <c r="D59" s="87">
        <f t="shared" si="22"/>
        <v>0</v>
      </c>
      <c r="E59" s="87">
        <v>0</v>
      </c>
      <c r="F59" s="87">
        <v>0</v>
      </c>
      <c r="G59" s="87">
        <v>0</v>
      </c>
      <c r="H59" s="87">
        <v>0</v>
      </c>
      <c r="I59" s="87">
        <v>0</v>
      </c>
      <c r="J59" s="87">
        <v>0</v>
      </c>
    </row>
    <row r="60" spans="1:10" s="134" customFormat="1" ht="36.75" hidden="1" customHeight="1" x14ac:dyDescent="0.3">
      <c r="A60" s="274"/>
      <c r="B60" s="275"/>
      <c r="C60" s="137" t="s">
        <v>7</v>
      </c>
      <c r="D60" s="87">
        <f t="shared" si="22"/>
        <v>0</v>
      </c>
      <c r="E60" s="87">
        <v>0</v>
      </c>
      <c r="F60" s="87">
        <v>0</v>
      </c>
      <c r="G60" s="87">
        <v>0</v>
      </c>
      <c r="H60" s="87">
        <v>0</v>
      </c>
      <c r="I60" s="87">
        <v>0</v>
      </c>
      <c r="J60" s="87">
        <v>0</v>
      </c>
    </row>
    <row r="61" spans="1:10" s="134" customFormat="1" ht="33" hidden="1" customHeight="1" x14ac:dyDescent="0.3">
      <c r="A61" s="274"/>
      <c r="B61" s="275"/>
      <c r="C61" s="137" t="s">
        <v>24</v>
      </c>
      <c r="D61" s="87">
        <f t="shared" si="22"/>
        <v>0</v>
      </c>
      <c r="E61" s="87">
        <v>0</v>
      </c>
      <c r="F61" s="87">
        <v>0</v>
      </c>
      <c r="G61" s="87">
        <v>0</v>
      </c>
      <c r="H61" s="87">
        <v>0</v>
      </c>
      <c r="I61" s="87">
        <v>0</v>
      </c>
      <c r="J61" s="87">
        <v>0</v>
      </c>
    </row>
    <row r="62" spans="1:10" s="134" customFormat="1" ht="51.75" hidden="1" customHeight="1" x14ac:dyDescent="0.3">
      <c r="A62" s="274"/>
      <c r="B62" s="275"/>
      <c r="C62" s="137" t="s">
        <v>22</v>
      </c>
      <c r="D62" s="87">
        <f t="shared" si="22"/>
        <v>0</v>
      </c>
      <c r="E62" s="87">
        <v>0</v>
      </c>
      <c r="F62" s="87">
        <v>0</v>
      </c>
      <c r="G62" s="87">
        <v>0</v>
      </c>
      <c r="H62" s="87">
        <v>0</v>
      </c>
      <c r="I62" s="87">
        <v>0</v>
      </c>
      <c r="J62" s="87">
        <v>0</v>
      </c>
    </row>
    <row r="63" spans="1:10" s="134" customFormat="1" ht="45" hidden="1" customHeight="1" x14ac:dyDescent="0.3">
      <c r="A63" s="274" t="s">
        <v>254</v>
      </c>
      <c r="B63" s="275" t="s">
        <v>209</v>
      </c>
      <c r="C63" s="135" t="s">
        <v>178</v>
      </c>
      <c r="D63" s="87">
        <f t="shared" si="22"/>
        <v>0</v>
      </c>
      <c r="E63" s="87">
        <f>E64+E65+E66+E67</f>
        <v>0</v>
      </c>
      <c r="F63" s="87">
        <f t="shared" ref="F63:J63" si="24">F64+F65+F66+F67</f>
        <v>0</v>
      </c>
      <c r="G63" s="87">
        <f>G66</f>
        <v>0</v>
      </c>
      <c r="H63" s="87">
        <f t="shared" si="24"/>
        <v>0</v>
      </c>
      <c r="I63" s="87">
        <f t="shared" si="24"/>
        <v>0</v>
      </c>
      <c r="J63" s="87">
        <f t="shared" si="24"/>
        <v>0</v>
      </c>
    </row>
    <row r="64" spans="1:10" s="134" customFormat="1" ht="80.25" hidden="1" customHeight="1" x14ac:dyDescent="0.3">
      <c r="A64" s="274"/>
      <c r="B64" s="275"/>
      <c r="C64" s="135" t="s">
        <v>6</v>
      </c>
      <c r="D64" s="87">
        <f t="shared" si="22"/>
        <v>0</v>
      </c>
      <c r="E64" s="87">
        <v>0</v>
      </c>
      <c r="F64" s="87">
        <v>0</v>
      </c>
      <c r="G64" s="87">
        <v>0</v>
      </c>
      <c r="H64" s="87">
        <v>0</v>
      </c>
      <c r="I64" s="87">
        <v>0</v>
      </c>
      <c r="J64" s="87">
        <v>0</v>
      </c>
    </row>
    <row r="65" spans="1:12" s="134" customFormat="1" ht="49.5" hidden="1" customHeight="1" x14ac:dyDescent="0.3">
      <c r="A65" s="274"/>
      <c r="B65" s="275"/>
      <c r="C65" s="137" t="s">
        <v>7</v>
      </c>
      <c r="D65" s="87">
        <f t="shared" si="22"/>
        <v>0</v>
      </c>
      <c r="E65" s="87">
        <v>0</v>
      </c>
      <c r="F65" s="87">
        <v>0</v>
      </c>
      <c r="G65" s="87">
        <v>0</v>
      </c>
      <c r="H65" s="87">
        <v>0</v>
      </c>
      <c r="I65" s="87">
        <v>0</v>
      </c>
      <c r="J65" s="87">
        <v>0</v>
      </c>
    </row>
    <row r="66" spans="1:12" s="134" customFormat="1" ht="72.75" hidden="1" customHeight="1" x14ac:dyDescent="0.3">
      <c r="A66" s="274"/>
      <c r="B66" s="275"/>
      <c r="C66" s="137" t="s">
        <v>24</v>
      </c>
      <c r="D66" s="87">
        <f t="shared" si="22"/>
        <v>0</v>
      </c>
      <c r="E66" s="87">
        <v>0</v>
      </c>
      <c r="F66" s="87">
        <v>0</v>
      </c>
      <c r="G66" s="87">
        <v>0</v>
      </c>
      <c r="H66" s="87">
        <v>0</v>
      </c>
      <c r="I66" s="87">
        <v>0</v>
      </c>
      <c r="J66" s="87">
        <v>0</v>
      </c>
    </row>
    <row r="67" spans="1:12" s="134" customFormat="1" ht="126.75" hidden="1" customHeight="1" x14ac:dyDescent="0.3">
      <c r="A67" s="274"/>
      <c r="B67" s="275"/>
      <c r="C67" s="137" t="s">
        <v>22</v>
      </c>
      <c r="D67" s="87">
        <f t="shared" si="22"/>
        <v>0</v>
      </c>
      <c r="E67" s="87">
        <v>0</v>
      </c>
      <c r="F67" s="87">
        <v>0</v>
      </c>
      <c r="G67" s="87">
        <v>0</v>
      </c>
      <c r="H67" s="87">
        <v>0</v>
      </c>
      <c r="I67" s="87">
        <v>0</v>
      </c>
      <c r="J67" s="87">
        <v>0</v>
      </c>
    </row>
    <row r="68" spans="1:12" s="134" customFormat="1" ht="20.25" x14ac:dyDescent="0.3">
      <c r="A68" s="274" t="s">
        <v>255</v>
      </c>
      <c r="B68" s="275" t="s">
        <v>340</v>
      </c>
      <c r="C68" s="135" t="s">
        <v>178</v>
      </c>
      <c r="D68" s="87">
        <f t="shared" si="22"/>
        <v>939552.88</v>
      </c>
      <c r="E68" s="87">
        <f>E69+E70+E71+E72</f>
        <v>152327</v>
      </c>
      <c r="F68" s="87">
        <f>F69+F70+F71+F72</f>
        <v>145343.24</v>
      </c>
      <c r="G68" s="87">
        <f>G71</f>
        <v>151156.97</v>
      </c>
      <c r="H68" s="87">
        <f>H69+H70+H71+H72</f>
        <v>157203.25</v>
      </c>
      <c r="I68" s="87">
        <f t="shared" ref="I68:J68" si="25">I69+I70+I71+I72</f>
        <v>163491.38</v>
      </c>
      <c r="J68" s="87">
        <f t="shared" si="25"/>
        <v>170031.04</v>
      </c>
    </row>
    <row r="69" spans="1:12" s="134" customFormat="1" ht="30.75" customHeight="1" x14ac:dyDescent="0.3">
      <c r="A69" s="274"/>
      <c r="B69" s="275"/>
      <c r="C69" s="135" t="s">
        <v>6</v>
      </c>
      <c r="D69" s="87">
        <f t="shared" si="22"/>
        <v>0</v>
      </c>
      <c r="E69" s="87">
        <v>0</v>
      </c>
      <c r="F69" s="87">
        <v>0</v>
      </c>
      <c r="G69" s="87">
        <v>0</v>
      </c>
      <c r="H69" s="87">
        <v>0</v>
      </c>
      <c r="I69" s="87">
        <v>0</v>
      </c>
      <c r="J69" s="87">
        <v>0</v>
      </c>
    </row>
    <row r="70" spans="1:12" s="134" customFormat="1" ht="20.25" x14ac:dyDescent="0.3">
      <c r="A70" s="274"/>
      <c r="B70" s="275"/>
      <c r="C70" s="137" t="s">
        <v>7</v>
      </c>
      <c r="D70" s="87">
        <f t="shared" si="22"/>
        <v>0</v>
      </c>
      <c r="E70" s="87">
        <v>0</v>
      </c>
      <c r="F70" s="87">
        <v>0</v>
      </c>
      <c r="G70" s="87">
        <v>0</v>
      </c>
      <c r="H70" s="87">
        <v>0</v>
      </c>
      <c r="I70" s="87">
        <v>0</v>
      </c>
      <c r="J70" s="87">
        <v>0</v>
      </c>
      <c r="K70" s="133"/>
      <c r="L70" s="133"/>
    </row>
    <row r="71" spans="1:12" s="134" customFormat="1" ht="40.5" x14ac:dyDescent="0.3">
      <c r="A71" s="274"/>
      <c r="B71" s="275"/>
      <c r="C71" s="137" t="s">
        <v>24</v>
      </c>
      <c r="D71" s="87">
        <f t="shared" si="22"/>
        <v>939552.88</v>
      </c>
      <c r="E71" s="87">
        <f>69180+29600+53547</f>
        <v>152327</v>
      </c>
      <c r="F71" s="87">
        <v>145343.24</v>
      </c>
      <c r="G71" s="87">
        <v>151156.97</v>
      </c>
      <c r="H71" s="87">
        <v>157203.25</v>
      </c>
      <c r="I71" s="87">
        <v>163491.38</v>
      </c>
      <c r="J71" s="87">
        <v>170031.04</v>
      </c>
      <c r="K71" s="133"/>
      <c r="L71" s="133"/>
    </row>
    <row r="72" spans="1:12" s="134" customFormat="1" ht="40.5" x14ac:dyDescent="0.3">
      <c r="A72" s="274"/>
      <c r="B72" s="275"/>
      <c r="C72" s="137" t="s">
        <v>22</v>
      </c>
      <c r="D72" s="87">
        <f t="shared" si="22"/>
        <v>0</v>
      </c>
      <c r="E72" s="87">
        <v>0</v>
      </c>
      <c r="F72" s="87">
        <v>0</v>
      </c>
      <c r="G72" s="87">
        <v>0</v>
      </c>
      <c r="H72" s="87">
        <v>0</v>
      </c>
      <c r="I72" s="87">
        <v>0</v>
      </c>
      <c r="J72" s="87">
        <v>0</v>
      </c>
      <c r="K72" s="139"/>
      <c r="L72" s="139"/>
    </row>
    <row r="73" spans="1:12" s="134" customFormat="1" ht="20.25" hidden="1" x14ac:dyDescent="0.3">
      <c r="A73" s="274" t="s">
        <v>256</v>
      </c>
      <c r="B73" s="275" t="s">
        <v>242</v>
      </c>
      <c r="C73" s="135" t="s">
        <v>178</v>
      </c>
      <c r="D73" s="87">
        <f t="shared" si="22"/>
        <v>0</v>
      </c>
      <c r="E73" s="87">
        <f>E74+E75+E76+E77</f>
        <v>0</v>
      </c>
      <c r="F73" s="87">
        <f t="shared" ref="F73:J73" si="26">F74+F75+F76+F77</f>
        <v>0</v>
      </c>
      <c r="G73" s="87">
        <f t="shared" si="26"/>
        <v>0</v>
      </c>
      <c r="H73" s="87">
        <f t="shared" si="26"/>
        <v>0</v>
      </c>
      <c r="I73" s="87">
        <f t="shared" si="26"/>
        <v>0</v>
      </c>
      <c r="J73" s="87">
        <f t="shared" si="26"/>
        <v>0</v>
      </c>
      <c r="K73" s="133"/>
      <c r="L73" s="133"/>
    </row>
    <row r="74" spans="1:12" s="134" customFormat="1" ht="20.25" hidden="1" x14ac:dyDescent="0.3">
      <c r="A74" s="274"/>
      <c r="B74" s="275"/>
      <c r="C74" s="135" t="s">
        <v>6</v>
      </c>
      <c r="D74" s="87">
        <f t="shared" si="22"/>
        <v>0</v>
      </c>
      <c r="E74" s="87">
        <v>0</v>
      </c>
      <c r="F74" s="87">
        <v>0</v>
      </c>
      <c r="G74" s="87">
        <v>0</v>
      </c>
      <c r="H74" s="87">
        <v>0</v>
      </c>
      <c r="I74" s="87">
        <v>0</v>
      </c>
      <c r="J74" s="87">
        <v>0</v>
      </c>
      <c r="K74" s="133"/>
      <c r="L74" s="133"/>
    </row>
    <row r="75" spans="1:12" s="134" customFormat="1" ht="20.25" hidden="1" x14ac:dyDescent="0.3">
      <c r="A75" s="274"/>
      <c r="B75" s="275"/>
      <c r="C75" s="137" t="s">
        <v>7</v>
      </c>
      <c r="D75" s="87">
        <v>0</v>
      </c>
      <c r="E75" s="87">
        <v>0</v>
      </c>
      <c r="F75" s="87">
        <v>0</v>
      </c>
      <c r="G75" s="87">
        <v>0</v>
      </c>
      <c r="H75" s="87">
        <v>0</v>
      </c>
      <c r="I75" s="87">
        <v>0</v>
      </c>
      <c r="J75" s="87">
        <v>0</v>
      </c>
      <c r="K75" s="133"/>
      <c r="L75" s="133"/>
    </row>
    <row r="76" spans="1:12" s="134" customFormat="1" ht="40.5" hidden="1" x14ac:dyDescent="0.3">
      <c r="A76" s="274"/>
      <c r="B76" s="275"/>
      <c r="C76" s="137" t="s">
        <v>24</v>
      </c>
      <c r="D76" s="87">
        <f t="shared" si="22"/>
        <v>0</v>
      </c>
      <c r="E76" s="87">
        <v>0</v>
      </c>
      <c r="F76" s="87">
        <v>0</v>
      </c>
      <c r="G76" s="87">
        <v>0</v>
      </c>
      <c r="H76" s="87">
        <v>0</v>
      </c>
      <c r="I76" s="87">
        <v>0</v>
      </c>
      <c r="J76" s="87">
        <v>0</v>
      </c>
      <c r="K76" s="133"/>
      <c r="L76" s="133"/>
    </row>
    <row r="77" spans="1:12" s="134" customFormat="1" ht="40.5" hidden="1" x14ac:dyDescent="0.3">
      <c r="A77" s="274"/>
      <c r="B77" s="275"/>
      <c r="C77" s="137" t="s">
        <v>22</v>
      </c>
      <c r="D77" s="87">
        <f t="shared" si="22"/>
        <v>0</v>
      </c>
      <c r="E77" s="87">
        <v>0</v>
      </c>
      <c r="F77" s="87">
        <v>0</v>
      </c>
      <c r="G77" s="87">
        <v>0</v>
      </c>
      <c r="H77" s="87">
        <v>0</v>
      </c>
      <c r="I77" s="87">
        <v>0</v>
      </c>
      <c r="J77" s="87">
        <v>0</v>
      </c>
      <c r="K77" s="133"/>
      <c r="L77" s="133"/>
    </row>
    <row r="78" spans="1:12" s="134" customFormat="1" ht="20.25" x14ac:dyDescent="0.3">
      <c r="A78" s="269" t="s">
        <v>11</v>
      </c>
      <c r="B78" s="266" t="s">
        <v>148</v>
      </c>
      <c r="C78" s="135" t="s">
        <v>178</v>
      </c>
      <c r="D78" s="87">
        <f t="shared" si="22"/>
        <v>103540.86597839362</v>
      </c>
      <c r="E78" s="87">
        <f t="shared" ref="E78:J78" si="27">E79+E80+E81+E82</f>
        <v>15186</v>
      </c>
      <c r="F78" s="87">
        <f t="shared" si="27"/>
        <v>16312.690000000002</v>
      </c>
      <c r="G78" s="87">
        <f t="shared" si="27"/>
        <v>16965.202400000002</v>
      </c>
      <c r="H78" s="87">
        <f t="shared" si="27"/>
        <v>17643.819296000001</v>
      </c>
      <c r="I78" s="87">
        <f t="shared" si="27"/>
        <v>18349.583667840005</v>
      </c>
      <c r="J78" s="87">
        <f t="shared" si="27"/>
        <v>19083.570614553602</v>
      </c>
    </row>
    <row r="79" spans="1:12" s="134" customFormat="1" ht="28.5" customHeight="1" x14ac:dyDescent="0.3">
      <c r="A79" s="270"/>
      <c r="B79" s="267"/>
      <c r="C79" s="135" t="s">
        <v>6</v>
      </c>
      <c r="D79" s="87">
        <f t="shared" si="22"/>
        <v>0</v>
      </c>
      <c r="E79" s="87">
        <f t="shared" ref="E79:J79" si="28">E84+E89+E94+E99+E104+E109</f>
        <v>0</v>
      </c>
      <c r="F79" s="87">
        <f t="shared" si="28"/>
        <v>0</v>
      </c>
      <c r="G79" s="87">
        <v>0</v>
      </c>
      <c r="H79" s="87">
        <f t="shared" si="28"/>
        <v>0</v>
      </c>
      <c r="I79" s="87">
        <f t="shared" si="28"/>
        <v>0</v>
      </c>
      <c r="J79" s="87">
        <f t="shared" si="28"/>
        <v>0</v>
      </c>
    </row>
    <row r="80" spans="1:12" s="134" customFormat="1" ht="20.25" x14ac:dyDescent="0.3">
      <c r="A80" s="270"/>
      <c r="B80" s="267"/>
      <c r="C80" s="137" t="s">
        <v>7</v>
      </c>
      <c r="D80" s="87">
        <f t="shared" si="22"/>
        <v>0</v>
      </c>
      <c r="E80" s="87">
        <f>E85+E90+E95+E100+E105+E111</f>
        <v>0</v>
      </c>
      <c r="F80" s="87">
        <f t="shared" ref="F80:I80" si="29">F85+F90+F95+F100+F105+F111</f>
        <v>0</v>
      </c>
      <c r="G80" s="87">
        <v>0</v>
      </c>
      <c r="H80" s="87">
        <f t="shared" si="29"/>
        <v>0</v>
      </c>
      <c r="I80" s="87">
        <f t="shared" si="29"/>
        <v>0</v>
      </c>
      <c r="J80" s="87">
        <v>0</v>
      </c>
    </row>
    <row r="81" spans="1:11" s="134" customFormat="1" ht="40.5" x14ac:dyDescent="0.3">
      <c r="A81" s="270"/>
      <c r="B81" s="267"/>
      <c r="C81" s="137" t="s">
        <v>24</v>
      </c>
      <c r="D81" s="87">
        <f t="shared" si="22"/>
        <v>23520.649999999998</v>
      </c>
      <c r="E81" s="87">
        <f t="shared" ref="E81:J82" si="30">E86+E91+E96+E101+E106+E111</f>
        <v>3122</v>
      </c>
      <c r="F81" s="87">
        <f t="shared" si="30"/>
        <v>3766.13</v>
      </c>
      <c r="G81" s="87">
        <f>G86+G91+G96</f>
        <v>3916.7799999999997</v>
      </c>
      <c r="H81" s="87">
        <f t="shared" si="30"/>
        <v>4073.46</v>
      </c>
      <c r="I81" s="87">
        <f>I86+I91+I96+I101+I106+I111</f>
        <v>4236.41</v>
      </c>
      <c r="J81" s="87">
        <f t="shared" si="30"/>
        <v>4405.87</v>
      </c>
    </row>
    <row r="82" spans="1:11" s="134" customFormat="1" ht="40.5" x14ac:dyDescent="0.3">
      <c r="A82" s="271"/>
      <c r="B82" s="268"/>
      <c r="C82" s="137" t="s">
        <v>22</v>
      </c>
      <c r="D82" s="87">
        <f t="shared" si="22"/>
        <v>80020.215978393608</v>
      </c>
      <c r="E82" s="87">
        <f t="shared" si="30"/>
        <v>12064</v>
      </c>
      <c r="F82" s="87">
        <f>F87+F92+F97+F102+F107+F112</f>
        <v>12546.560000000001</v>
      </c>
      <c r="G82" s="87">
        <f>G102+G107+G112</f>
        <v>13048.422400000001</v>
      </c>
      <c r="H82" s="87">
        <f t="shared" si="30"/>
        <v>13570.359296000002</v>
      </c>
      <c r="I82" s="87">
        <f t="shared" si="30"/>
        <v>14113.173667840005</v>
      </c>
      <c r="J82" s="87">
        <f t="shared" si="30"/>
        <v>14677.700614553603</v>
      </c>
    </row>
    <row r="83" spans="1:11" s="134" customFormat="1" ht="20.25" x14ac:dyDescent="0.3">
      <c r="A83" s="274" t="s">
        <v>321</v>
      </c>
      <c r="B83" s="275" t="s">
        <v>243</v>
      </c>
      <c r="C83" s="135" t="s">
        <v>178</v>
      </c>
      <c r="D83" s="87">
        <f t="shared" si="22"/>
        <v>1921.5</v>
      </c>
      <c r="E83" s="87">
        <f t="shared" ref="E83:J83" si="31">E84+E85+E86+E87</f>
        <v>0</v>
      </c>
      <c r="F83" s="87">
        <f t="shared" si="31"/>
        <v>354.76</v>
      </c>
      <c r="G83" s="87">
        <f>G86</f>
        <v>368.95</v>
      </c>
      <c r="H83" s="87">
        <f t="shared" si="31"/>
        <v>383.71</v>
      </c>
      <c r="I83" s="87">
        <f t="shared" si="31"/>
        <v>399.06</v>
      </c>
      <c r="J83" s="87">
        <f t="shared" si="31"/>
        <v>415.02</v>
      </c>
    </row>
    <row r="84" spans="1:11" s="134" customFormat="1" ht="20.25" x14ac:dyDescent="0.3">
      <c r="A84" s="274"/>
      <c r="B84" s="275"/>
      <c r="C84" s="135" t="s">
        <v>6</v>
      </c>
      <c r="D84" s="87">
        <f t="shared" ref="D84:D106" si="32">E84+F84+G84+H84+I84+J84</f>
        <v>0</v>
      </c>
      <c r="E84" s="87">
        <v>0</v>
      </c>
      <c r="F84" s="87">
        <v>0</v>
      </c>
      <c r="G84" s="87">
        <v>0</v>
      </c>
      <c r="H84" s="87">
        <v>0</v>
      </c>
      <c r="I84" s="87">
        <v>0</v>
      </c>
      <c r="J84" s="87">
        <v>0</v>
      </c>
    </row>
    <row r="85" spans="1:11" s="134" customFormat="1" ht="20.25" x14ac:dyDescent="0.3">
      <c r="A85" s="274"/>
      <c r="B85" s="275"/>
      <c r="C85" s="137" t="s">
        <v>7</v>
      </c>
      <c r="D85" s="87">
        <f t="shared" si="32"/>
        <v>0</v>
      </c>
      <c r="E85" s="87">
        <v>0</v>
      </c>
      <c r="F85" s="87">
        <v>0</v>
      </c>
      <c r="G85" s="87">
        <v>0</v>
      </c>
      <c r="H85" s="87">
        <v>0</v>
      </c>
      <c r="I85" s="87">
        <v>0</v>
      </c>
      <c r="J85" s="87">
        <v>0</v>
      </c>
    </row>
    <row r="86" spans="1:11" s="134" customFormat="1" ht="40.5" x14ac:dyDescent="0.3">
      <c r="A86" s="274"/>
      <c r="B86" s="275"/>
      <c r="C86" s="137" t="s">
        <v>24</v>
      </c>
      <c r="D86" s="87">
        <f t="shared" si="32"/>
        <v>1921.5</v>
      </c>
      <c r="E86" s="87">
        <v>0</v>
      </c>
      <c r="F86" s="87">
        <v>354.76</v>
      </c>
      <c r="G86" s="87">
        <v>368.95</v>
      </c>
      <c r="H86" s="87">
        <v>383.71</v>
      </c>
      <c r="I86" s="87">
        <v>399.06</v>
      </c>
      <c r="J86" s="87">
        <v>415.02</v>
      </c>
    </row>
    <row r="87" spans="1:11" s="134" customFormat="1" ht="40.5" x14ac:dyDescent="0.3">
      <c r="A87" s="274"/>
      <c r="B87" s="275"/>
      <c r="C87" s="137" t="s">
        <v>22</v>
      </c>
      <c r="D87" s="87">
        <f t="shared" si="32"/>
        <v>0</v>
      </c>
      <c r="E87" s="87">
        <v>0</v>
      </c>
      <c r="F87" s="87">
        <v>0</v>
      </c>
      <c r="G87" s="87">
        <v>0</v>
      </c>
      <c r="H87" s="87">
        <v>0</v>
      </c>
      <c r="I87" s="87">
        <v>0</v>
      </c>
      <c r="J87" s="87">
        <v>0</v>
      </c>
    </row>
    <row r="88" spans="1:11" s="134" customFormat="1" ht="20.25" x14ac:dyDescent="0.3">
      <c r="A88" s="274" t="s">
        <v>322</v>
      </c>
      <c r="B88" s="275" t="s">
        <v>248</v>
      </c>
      <c r="C88" s="135" t="s">
        <v>178</v>
      </c>
      <c r="D88" s="87">
        <f t="shared" si="32"/>
        <v>21599.149999999998</v>
      </c>
      <c r="E88" s="87">
        <f>SUM(E89:E92)</f>
        <v>3122</v>
      </c>
      <c r="F88" s="87">
        <f t="shared" ref="F88:J88" si="33">F89+F90+F91+F92</f>
        <v>3411.37</v>
      </c>
      <c r="G88" s="87">
        <f>G91</f>
        <v>3547.83</v>
      </c>
      <c r="H88" s="87">
        <f t="shared" si="33"/>
        <v>3689.75</v>
      </c>
      <c r="I88" s="87">
        <f t="shared" si="33"/>
        <v>3837.35</v>
      </c>
      <c r="J88" s="87">
        <f t="shared" si="33"/>
        <v>3990.85</v>
      </c>
    </row>
    <row r="89" spans="1:11" s="134" customFormat="1" ht="20.25" x14ac:dyDescent="0.3">
      <c r="A89" s="274"/>
      <c r="B89" s="275"/>
      <c r="C89" s="135" t="s">
        <v>6</v>
      </c>
      <c r="D89" s="87">
        <f t="shared" si="32"/>
        <v>0</v>
      </c>
      <c r="E89" s="87">
        <v>0</v>
      </c>
      <c r="F89" s="87">
        <v>0</v>
      </c>
      <c r="G89" s="87">
        <v>0</v>
      </c>
      <c r="H89" s="87">
        <v>0</v>
      </c>
      <c r="I89" s="87">
        <v>0</v>
      </c>
      <c r="J89" s="87">
        <v>0</v>
      </c>
    </row>
    <row r="90" spans="1:11" s="134" customFormat="1" ht="20.25" x14ac:dyDescent="0.3">
      <c r="A90" s="274"/>
      <c r="B90" s="275"/>
      <c r="C90" s="137" t="s">
        <v>7</v>
      </c>
      <c r="D90" s="87">
        <f t="shared" si="32"/>
        <v>0</v>
      </c>
      <c r="E90" s="87">
        <v>0</v>
      </c>
      <c r="F90" s="87">
        <v>0</v>
      </c>
      <c r="G90" s="87">
        <v>0</v>
      </c>
      <c r="H90" s="87">
        <v>0</v>
      </c>
      <c r="I90" s="87">
        <v>0</v>
      </c>
      <c r="J90" s="87">
        <v>0</v>
      </c>
    </row>
    <row r="91" spans="1:11" s="134" customFormat="1" ht="40.5" x14ac:dyDescent="0.3">
      <c r="A91" s="274"/>
      <c r="B91" s="275"/>
      <c r="C91" s="137" t="s">
        <v>24</v>
      </c>
      <c r="D91" s="87">
        <f t="shared" si="32"/>
        <v>21599.149999999998</v>
      </c>
      <c r="E91" s="87">
        <f>289+84+980+413+694+662</f>
        <v>3122</v>
      </c>
      <c r="F91" s="87">
        <v>3411.37</v>
      </c>
      <c r="G91" s="87">
        <v>3547.83</v>
      </c>
      <c r="H91" s="87">
        <v>3689.75</v>
      </c>
      <c r="I91" s="87">
        <v>3837.35</v>
      </c>
      <c r="J91" s="87">
        <v>3990.85</v>
      </c>
      <c r="K91" s="134">
        <v>174.14</v>
      </c>
    </row>
    <row r="92" spans="1:11" s="134" customFormat="1" ht="170.25" customHeight="1" x14ac:dyDescent="0.3">
      <c r="A92" s="274"/>
      <c r="B92" s="275"/>
      <c r="C92" s="137" t="s">
        <v>22</v>
      </c>
      <c r="D92" s="87">
        <f t="shared" si="32"/>
        <v>0</v>
      </c>
      <c r="E92" s="87">
        <v>0</v>
      </c>
      <c r="F92" s="87">
        <v>0</v>
      </c>
      <c r="G92" s="87">
        <v>0</v>
      </c>
      <c r="H92" s="87">
        <v>0</v>
      </c>
      <c r="I92" s="87">
        <v>0</v>
      </c>
      <c r="J92" s="87">
        <v>0</v>
      </c>
    </row>
    <row r="93" spans="1:11" s="134" customFormat="1" ht="20.25" hidden="1" x14ac:dyDescent="0.3">
      <c r="A93" s="274" t="s">
        <v>257</v>
      </c>
      <c r="B93" s="275" t="s">
        <v>43</v>
      </c>
      <c r="C93" s="135" t="s">
        <v>178</v>
      </c>
      <c r="D93" s="87">
        <f t="shared" si="32"/>
        <v>0</v>
      </c>
      <c r="E93" s="87">
        <f>E94+E95+E96+E97</f>
        <v>0</v>
      </c>
      <c r="F93" s="87">
        <f t="shared" ref="F93:J93" si="34">F94+F95+F96+F97</f>
        <v>0</v>
      </c>
      <c r="G93" s="87">
        <f t="shared" si="34"/>
        <v>0</v>
      </c>
      <c r="H93" s="87">
        <f t="shared" si="34"/>
        <v>0</v>
      </c>
      <c r="I93" s="87">
        <f t="shared" si="34"/>
        <v>0</v>
      </c>
      <c r="J93" s="87">
        <f t="shared" si="34"/>
        <v>0</v>
      </c>
    </row>
    <row r="94" spans="1:11" s="134" customFormat="1" ht="20.25" hidden="1" x14ac:dyDescent="0.3">
      <c r="A94" s="274"/>
      <c r="B94" s="275"/>
      <c r="C94" s="135" t="s">
        <v>6</v>
      </c>
      <c r="D94" s="87">
        <f t="shared" si="32"/>
        <v>0</v>
      </c>
      <c r="E94" s="87">
        <v>0</v>
      </c>
      <c r="F94" s="87">
        <v>0</v>
      </c>
      <c r="G94" s="87">
        <v>0</v>
      </c>
      <c r="H94" s="87">
        <v>0</v>
      </c>
      <c r="I94" s="87">
        <v>0</v>
      </c>
      <c r="J94" s="87">
        <v>0</v>
      </c>
    </row>
    <row r="95" spans="1:11" s="134" customFormat="1" ht="20.25" hidden="1" x14ac:dyDescent="0.3">
      <c r="A95" s="274"/>
      <c r="B95" s="275"/>
      <c r="C95" s="137" t="s">
        <v>7</v>
      </c>
      <c r="D95" s="87">
        <f t="shared" si="32"/>
        <v>0</v>
      </c>
      <c r="E95" s="87">
        <v>0</v>
      </c>
      <c r="F95" s="87">
        <v>0</v>
      </c>
      <c r="G95" s="87">
        <v>0</v>
      </c>
      <c r="H95" s="87">
        <v>0</v>
      </c>
      <c r="I95" s="87">
        <v>0</v>
      </c>
      <c r="J95" s="87">
        <v>0</v>
      </c>
    </row>
    <row r="96" spans="1:11" s="134" customFormat="1" ht="40.5" hidden="1" x14ac:dyDescent="0.3">
      <c r="A96" s="274"/>
      <c r="B96" s="275"/>
      <c r="C96" s="137" t="s">
        <v>24</v>
      </c>
      <c r="D96" s="87">
        <f t="shared" si="32"/>
        <v>0</v>
      </c>
      <c r="E96" s="87">
        <v>0</v>
      </c>
      <c r="F96" s="87">
        <v>0</v>
      </c>
      <c r="G96" s="87">
        <v>0</v>
      </c>
      <c r="H96" s="87">
        <v>0</v>
      </c>
      <c r="I96" s="87">
        <v>0</v>
      </c>
      <c r="J96" s="87">
        <v>0</v>
      </c>
    </row>
    <row r="97" spans="1:10" s="134" customFormat="1" ht="40.5" hidden="1" x14ac:dyDescent="0.3">
      <c r="A97" s="274"/>
      <c r="B97" s="275"/>
      <c r="C97" s="137" t="s">
        <v>22</v>
      </c>
      <c r="D97" s="87">
        <f t="shared" si="32"/>
        <v>0</v>
      </c>
      <c r="E97" s="87">
        <v>0</v>
      </c>
      <c r="F97" s="87">
        <v>0</v>
      </c>
      <c r="G97" s="87">
        <v>0</v>
      </c>
      <c r="H97" s="87">
        <v>0</v>
      </c>
      <c r="I97" s="87">
        <v>0</v>
      </c>
      <c r="J97" s="87">
        <v>0</v>
      </c>
    </row>
    <row r="98" spans="1:10" s="134" customFormat="1" ht="20.25" x14ac:dyDescent="0.3">
      <c r="A98" s="274" t="s">
        <v>324</v>
      </c>
      <c r="B98" s="275" t="s">
        <v>40</v>
      </c>
      <c r="C98" s="135" t="s">
        <v>178</v>
      </c>
      <c r="D98" s="87">
        <f t="shared" si="32"/>
        <v>68982.944808960019</v>
      </c>
      <c r="E98" s="87">
        <f>E99+E100+E101+E102</f>
        <v>10400</v>
      </c>
      <c r="F98" s="87">
        <f t="shared" ref="F98" si="35">F99+F100+F101+F102</f>
        <v>10816</v>
      </c>
      <c r="G98" s="87">
        <f>G102</f>
        <v>11248.640000000001</v>
      </c>
      <c r="H98" s="87">
        <f t="shared" ref="H98:J98" si="36">H102</f>
        <v>11698.585600000002</v>
      </c>
      <c r="I98" s="87">
        <f t="shared" si="36"/>
        <v>12166.529024000003</v>
      </c>
      <c r="J98" s="87">
        <f t="shared" si="36"/>
        <v>12653.190184960004</v>
      </c>
    </row>
    <row r="99" spans="1:10" s="134" customFormat="1" ht="20.25" x14ac:dyDescent="0.3">
      <c r="A99" s="274"/>
      <c r="B99" s="275"/>
      <c r="C99" s="135" t="s">
        <v>6</v>
      </c>
      <c r="D99" s="87">
        <f t="shared" si="32"/>
        <v>0</v>
      </c>
      <c r="E99" s="87">
        <v>0</v>
      </c>
      <c r="F99" s="87">
        <v>0</v>
      </c>
      <c r="G99" s="87">
        <v>0</v>
      </c>
      <c r="H99" s="87">
        <v>0</v>
      </c>
      <c r="I99" s="87">
        <v>0</v>
      </c>
      <c r="J99" s="87">
        <v>0</v>
      </c>
    </row>
    <row r="100" spans="1:10" s="134" customFormat="1" ht="20.25" x14ac:dyDescent="0.3">
      <c r="A100" s="274"/>
      <c r="B100" s="275"/>
      <c r="C100" s="137" t="s">
        <v>7</v>
      </c>
      <c r="D100" s="87">
        <f t="shared" si="32"/>
        <v>0</v>
      </c>
      <c r="E100" s="87">
        <v>0</v>
      </c>
      <c r="F100" s="87">
        <v>0</v>
      </c>
      <c r="G100" s="87">
        <v>0</v>
      </c>
      <c r="H100" s="87">
        <v>0</v>
      </c>
      <c r="I100" s="87">
        <v>0</v>
      </c>
      <c r="J100" s="87">
        <v>0</v>
      </c>
    </row>
    <row r="101" spans="1:10" s="134" customFormat="1" ht="40.5" x14ac:dyDescent="0.3">
      <c r="A101" s="274"/>
      <c r="B101" s="275"/>
      <c r="C101" s="137" t="s">
        <v>24</v>
      </c>
      <c r="D101" s="87">
        <f t="shared" si="32"/>
        <v>0</v>
      </c>
      <c r="E101" s="87">
        <v>0</v>
      </c>
      <c r="F101" s="87">
        <v>0</v>
      </c>
      <c r="G101" s="87">
        <v>0</v>
      </c>
      <c r="H101" s="87">
        <v>0</v>
      </c>
      <c r="I101" s="87">
        <v>0</v>
      </c>
      <c r="J101" s="87">
        <v>0</v>
      </c>
    </row>
    <row r="102" spans="1:10" s="134" customFormat="1" ht="40.5" x14ac:dyDescent="0.3">
      <c r="A102" s="274"/>
      <c r="B102" s="275"/>
      <c r="C102" s="137" t="s">
        <v>22</v>
      </c>
      <c r="D102" s="87">
        <f t="shared" si="32"/>
        <v>68982.944808960019</v>
      </c>
      <c r="E102" s="87">
        <f>'5 финансирование'!O102*1.04</f>
        <v>10400</v>
      </c>
      <c r="F102" s="87">
        <f>E102*1.04</f>
        <v>10816</v>
      </c>
      <c r="G102" s="87">
        <f t="shared" ref="G102:J102" si="37">F102*1.04</f>
        <v>11248.640000000001</v>
      </c>
      <c r="H102" s="87">
        <f t="shared" si="37"/>
        <v>11698.585600000002</v>
      </c>
      <c r="I102" s="87">
        <f t="shared" si="37"/>
        <v>12166.529024000003</v>
      </c>
      <c r="J102" s="87">
        <f t="shared" si="37"/>
        <v>12653.190184960004</v>
      </c>
    </row>
    <row r="103" spans="1:10" s="134" customFormat="1" ht="20.25" x14ac:dyDescent="0.3">
      <c r="A103" s="274" t="s">
        <v>325</v>
      </c>
      <c r="B103" s="275" t="s">
        <v>31</v>
      </c>
      <c r="C103" s="135" t="s">
        <v>178</v>
      </c>
      <c r="D103" s="87">
        <f t="shared" si="32"/>
        <v>6898.2944808960019</v>
      </c>
      <c r="E103" s="140">
        <f>E104+E105+E106+E107</f>
        <v>1040</v>
      </c>
      <c r="F103" s="88">
        <f t="shared" ref="F103" si="38">F104+F105+F106+F107</f>
        <v>1081.6000000000001</v>
      </c>
      <c r="G103" s="88">
        <f>G107</f>
        <v>1124.8640000000003</v>
      </c>
      <c r="H103" s="88">
        <f t="shared" ref="H103:J103" si="39">H107</f>
        <v>1169.8585600000004</v>
      </c>
      <c r="I103" s="88">
        <f t="shared" si="39"/>
        <v>1216.6529024000004</v>
      </c>
      <c r="J103" s="88">
        <f t="shared" si="39"/>
        <v>1265.3190184960004</v>
      </c>
    </row>
    <row r="104" spans="1:10" s="134" customFormat="1" ht="20.25" x14ac:dyDescent="0.3">
      <c r="A104" s="274"/>
      <c r="B104" s="275"/>
      <c r="C104" s="135" t="s">
        <v>6</v>
      </c>
      <c r="D104" s="87">
        <f t="shared" si="32"/>
        <v>0</v>
      </c>
      <c r="E104" s="141">
        <v>0</v>
      </c>
      <c r="F104" s="87">
        <v>0</v>
      </c>
      <c r="G104" s="87">
        <v>0</v>
      </c>
      <c r="H104" s="88">
        <v>0</v>
      </c>
      <c r="I104" s="87">
        <v>0</v>
      </c>
      <c r="J104" s="87">
        <v>0</v>
      </c>
    </row>
    <row r="105" spans="1:10" s="134" customFormat="1" ht="20.25" x14ac:dyDescent="0.3">
      <c r="A105" s="274"/>
      <c r="B105" s="275"/>
      <c r="C105" s="137" t="s">
        <v>7</v>
      </c>
      <c r="D105" s="87">
        <f t="shared" si="32"/>
        <v>0</v>
      </c>
      <c r="E105" s="87">
        <v>0</v>
      </c>
      <c r="F105" s="87">
        <v>0</v>
      </c>
      <c r="G105" s="87">
        <v>0</v>
      </c>
      <c r="H105" s="87">
        <v>0</v>
      </c>
      <c r="I105" s="87">
        <v>0</v>
      </c>
      <c r="J105" s="87">
        <v>0</v>
      </c>
    </row>
    <row r="106" spans="1:10" s="134" customFormat="1" ht="40.5" x14ac:dyDescent="0.3">
      <c r="A106" s="274"/>
      <c r="B106" s="275"/>
      <c r="C106" s="137" t="s">
        <v>24</v>
      </c>
      <c r="D106" s="87">
        <f t="shared" si="32"/>
        <v>0</v>
      </c>
      <c r="E106" s="87">
        <v>0</v>
      </c>
      <c r="F106" s="87">
        <v>0</v>
      </c>
      <c r="G106" s="87">
        <v>0</v>
      </c>
      <c r="H106" s="87">
        <v>0</v>
      </c>
      <c r="I106" s="87">
        <v>0</v>
      </c>
      <c r="J106" s="87">
        <v>0</v>
      </c>
    </row>
    <row r="107" spans="1:10" s="134" customFormat="1" ht="40.5" x14ac:dyDescent="0.3">
      <c r="A107" s="274"/>
      <c r="B107" s="275"/>
      <c r="C107" s="137" t="s">
        <v>22</v>
      </c>
      <c r="D107" s="87">
        <f>E107+F107+G107+H107+I107+J107</f>
        <v>6898.2944808960019</v>
      </c>
      <c r="E107" s="87">
        <f>'5 финансирование'!O107*1.04</f>
        <v>1040</v>
      </c>
      <c r="F107" s="87">
        <f>E107*1.04</f>
        <v>1081.6000000000001</v>
      </c>
      <c r="G107" s="87">
        <f t="shared" ref="G107:J107" si="40">F107*1.04</f>
        <v>1124.8640000000003</v>
      </c>
      <c r="H107" s="87">
        <f t="shared" si="40"/>
        <v>1169.8585600000004</v>
      </c>
      <c r="I107" s="87">
        <f t="shared" si="40"/>
        <v>1216.6529024000004</v>
      </c>
      <c r="J107" s="87">
        <f t="shared" si="40"/>
        <v>1265.3190184960004</v>
      </c>
    </row>
    <row r="108" spans="1:10" s="134" customFormat="1" ht="20.25" x14ac:dyDescent="0.3">
      <c r="A108" s="274" t="s">
        <v>326</v>
      </c>
      <c r="B108" s="275" t="s">
        <v>32</v>
      </c>
      <c r="C108" s="135" t="s">
        <v>178</v>
      </c>
      <c r="D108" s="87">
        <f t="shared" ref="D108:D139" si="41">E108+F108+G108+H108+I108+J108</f>
        <v>4138.9766885376002</v>
      </c>
      <c r="E108" s="87">
        <f>E109+E110+E111+E112</f>
        <v>624</v>
      </c>
      <c r="F108" s="87">
        <f t="shared" ref="F108" si="42">F109+F110+F111+F112</f>
        <v>648.96</v>
      </c>
      <c r="G108" s="87">
        <f>G112</f>
        <v>674.91840000000002</v>
      </c>
      <c r="H108" s="87">
        <f t="shared" ref="H108:J108" si="43">H112</f>
        <v>701.91513600000008</v>
      </c>
      <c r="I108" s="87">
        <f t="shared" si="43"/>
        <v>729.99174144000006</v>
      </c>
      <c r="J108" s="87">
        <f t="shared" si="43"/>
        <v>759.19141109760005</v>
      </c>
    </row>
    <row r="109" spans="1:10" s="134" customFormat="1" ht="20.25" x14ac:dyDescent="0.3">
      <c r="A109" s="274"/>
      <c r="B109" s="275"/>
      <c r="C109" s="135" t="s">
        <v>6</v>
      </c>
      <c r="D109" s="87">
        <f t="shared" si="41"/>
        <v>0</v>
      </c>
      <c r="E109" s="87">
        <v>0</v>
      </c>
      <c r="F109" s="87">
        <v>0</v>
      </c>
      <c r="G109" s="87">
        <v>0</v>
      </c>
      <c r="H109" s="87">
        <v>0</v>
      </c>
      <c r="I109" s="87">
        <v>0</v>
      </c>
      <c r="J109" s="87">
        <v>0</v>
      </c>
    </row>
    <row r="110" spans="1:10" s="134" customFormat="1" ht="20.25" x14ac:dyDescent="0.3">
      <c r="A110" s="274"/>
      <c r="B110" s="275"/>
      <c r="C110" s="137" t="s">
        <v>7</v>
      </c>
      <c r="D110" s="87">
        <f t="shared" si="41"/>
        <v>0</v>
      </c>
      <c r="E110" s="87">
        <v>0</v>
      </c>
      <c r="F110" s="87">
        <v>0</v>
      </c>
      <c r="G110" s="87">
        <v>0</v>
      </c>
      <c r="H110" s="87">
        <v>0</v>
      </c>
      <c r="I110" s="87">
        <v>0</v>
      </c>
      <c r="J110" s="87">
        <v>0</v>
      </c>
    </row>
    <row r="111" spans="1:10" s="134" customFormat="1" ht="40.5" x14ac:dyDescent="0.3">
      <c r="A111" s="274"/>
      <c r="B111" s="275"/>
      <c r="C111" s="137" t="s">
        <v>24</v>
      </c>
      <c r="D111" s="87">
        <f t="shared" si="41"/>
        <v>0</v>
      </c>
      <c r="E111" s="87">
        <v>0</v>
      </c>
      <c r="F111" s="87">
        <v>0</v>
      </c>
      <c r="G111" s="87">
        <v>0</v>
      </c>
      <c r="H111" s="87">
        <v>0</v>
      </c>
      <c r="I111" s="87">
        <v>0</v>
      </c>
      <c r="J111" s="87">
        <v>0</v>
      </c>
    </row>
    <row r="112" spans="1:10" s="134" customFormat="1" ht="40.5" x14ac:dyDescent="0.3">
      <c r="A112" s="274"/>
      <c r="B112" s="275"/>
      <c r="C112" s="137" t="s">
        <v>22</v>
      </c>
      <c r="D112" s="87">
        <f t="shared" si="41"/>
        <v>4138.9766885376002</v>
      </c>
      <c r="E112" s="87">
        <f>'5 финансирование'!O112*1.04</f>
        <v>624</v>
      </c>
      <c r="F112" s="87">
        <f>E112*1.04</f>
        <v>648.96</v>
      </c>
      <c r="G112" s="87">
        <f t="shared" ref="G112:J112" si="44">F112*1.04</f>
        <v>674.91840000000002</v>
      </c>
      <c r="H112" s="87">
        <f t="shared" si="44"/>
        <v>701.91513600000008</v>
      </c>
      <c r="I112" s="87">
        <f t="shared" si="44"/>
        <v>729.99174144000006</v>
      </c>
      <c r="J112" s="87">
        <f t="shared" si="44"/>
        <v>759.19141109760005</v>
      </c>
    </row>
    <row r="113" spans="1:12" s="134" customFormat="1" ht="20.25" x14ac:dyDescent="0.3">
      <c r="A113" s="269" t="s">
        <v>29</v>
      </c>
      <c r="B113" s="266" t="s">
        <v>88</v>
      </c>
      <c r="C113" s="135" t="s">
        <v>178</v>
      </c>
      <c r="D113" s="87">
        <f>E113+F113+G113+H113+I113+J113</f>
        <v>127344.05000000002</v>
      </c>
      <c r="E113" s="87">
        <f>E114+E115+E116+E117</f>
        <v>20313</v>
      </c>
      <c r="F113" s="87">
        <f t="shared" ref="F113" si="45">F114+F115+F116+F117</f>
        <v>19760.830000000002</v>
      </c>
      <c r="G113" s="87">
        <f>G114+G115+G116+G117</f>
        <v>20551.27</v>
      </c>
      <c r="H113" s="87">
        <f t="shared" ref="H113:J113" si="46">H114+H115+H116+H117</f>
        <v>21373.32</v>
      </c>
      <c r="I113" s="87">
        <f t="shared" si="46"/>
        <v>22228.25</v>
      </c>
      <c r="J113" s="87">
        <f t="shared" si="46"/>
        <v>23117.38</v>
      </c>
    </row>
    <row r="114" spans="1:12" s="134" customFormat="1" ht="20.25" x14ac:dyDescent="0.3">
      <c r="A114" s="270"/>
      <c r="B114" s="267"/>
      <c r="C114" s="135" t="s">
        <v>6</v>
      </c>
      <c r="D114" s="87">
        <f t="shared" si="41"/>
        <v>0</v>
      </c>
      <c r="E114" s="87">
        <f t="shared" ref="E114:J117" si="47">E119+E124+E129+E134+E144</f>
        <v>0</v>
      </c>
      <c r="F114" s="87">
        <f t="shared" si="47"/>
        <v>0</v>
      </c>
      <c r="G114" s="87">
        <v>0</v>
      </c>
      <c r="H114" s="87">
        <f t="shared" si="47"/>
        <v>0</v>
      </c>
      <c r="I114" s="87">
        <f t="shared" si="47"/>
        <v>0</v>
      </c>
      <c r="J114" s="87">
        <f t="shared" si="47"/>
        <v>0</v>
      </c>
    </row>
    <row r="115" spans="1:12" s="134" customFormat="1" ht="20.25" x14ac:dyDescent="0.3">
      <c r="A115" s="270"/>
      <c r="B115" s="267"/>
      <c r="C115" s="137" t="s">
        <v>7</v>
      </c>
      <c r="D115" s="87">
        <f t="shared" si="41"/>
        <v>0</v>
      </c>
      <c r="E115" s="87">
        <f t="shared" si="47"/>
        <v>0</v>
      </c>
      <c r="F115" s="87">
        <f t="shared" si="47"/>
        <v>0</v>
      </c>
      <c r="G115" s="87">
        <v>0</v>
      </c>
      <c r="H115" s="87">
        <f t="shared" si="47"/>
        <v>0</v>
      </c>
      <c r="I115" s="87">
        <f t="shared" si="47"/>
        <v>0</v>
      </c>
      <c r="J115" s="87">
        <f t="shared" si="47"/>
        <v>0</v>
      </c>
    </row>
    <row r="116" spans="1:12" s="134" customFormat="1" ht="40.5" x14ac:dyDescent="0.3">
      <c r="A116" s="270"/>
      <c r="B116" s="267"/>
      <c r="C116" s="137" t="s">
        <v>24</v>
      </c>
      <c r="D116" s="87">
        <f>E116+F116+G116+H116+I116+J116</f>
        <v>127344.05000000002</v>
      </c>
      <c r="E116" s="87">
        <f>E121+E126+E131+E136+E146+E141</f>
        <v>20313</v>
      </c>
      <c r="F116" s="87">
        <f t="shared" si="47"/>
        <v>19760.830000000002</v>
      </c>
      <c r="G116" s="87">
        <f>G121+G126+G131+G136+G146</f>
        <v>20551.27</v>
      </c>
      <c r="H116" s="87">
        <f>H121+H126+H131+H136+H146</f>
        <v>21373.32</v>
      </c>
      <c r="I116" s="87">
        <f>I121+I126+I131+I136+I146</f>
        <v>22228.25</v>
      </c>
      <c r="J116" s="87">
        <f t="shared" si="47"/>
        <v>23117.38</v>
      </c>
      <c r="L116" s="136">
        <f>J116+I116+H116+G116+F116+E116</f>
        <v>127344.05000000002</v>
      </c>
    </row>
    <row r="117" spans="1:12" s="134" customFormat="1" ht="40.5" x14ac:dyDescent="0.3">
      <c r="A117" s="271"/>
      <c r="B117" s="268"/>
      <c r="C117" s="137" t="s">
        <v>22</v>
      </c>
      <c r="D117" s="87">
        <f t="shared" si="41"/>
        <v>0</v>
      </c>
      <c r="E117" s="87">
        <f>E122+E127+E132+E137+E147</f>
        <v>0</v>
      </c>
      <c r="F117" s="87">
        <f t="shared" si="47"/>
        <v>0</v>
      </c>
      <c r="G117" s="87">
        <v>0</v>
      </c>
      <c r="H117" s="87">
        <f t="shared" si="47"/>
        <v>0</v>
      </c>
      <c r="I117" s="87">
        <f t="shared" si="47"/>
        <v>0</v>
      </c>
      <c r="J117" s="87">
        <f t="shared" si="47"/>
        <v>0</v>
      </c>
    </row>
    <row r="118" spans="1:12" s="134" customFormat="1" ht="20.25" hidden="1" x14ac:dyDescent="0.3">
      <c r="A118" s="269" t="s">
        <v>258</v>
      </c>
      <c r="B118" s="266" t="s">
        <v>151</v>
      </c>
      <c r="C118" s="135" t="s">
        <v>178</v>
      </c>
      <c r="D118" s="87">
        <f t="shared" si="41"/>
        <v>0</v>
      </c>
      <c r="E118" s="87">
        <f>E119+E120+E121+E122</f>
        <v>0</v>
      </c>
      <c r="F118" s="87">
        <f t="shared" ref="F118:J118" si="48">F119+F120+F121+F122</f>
        <v>0</v>
      </c>
      <c r="G118" s="87">
        <v>0</v>
      </c>
      <c r="H118" s="87">
        <f t="shared" si="48"/>
        <v>0</v>
      </c>
      <c r="I118" s="87">
        <f t="shared" si="48"/>
        <v>0</v>
      </c>
      <c r="J118" s="87">
        <f t="shared" si="48"/>
        <v>0</v>
      </c>
    </row>
    <row r="119" spans="1:12" s="134" customFormat="1" ht="20.25" hidden="1" x14ac:dyDescent="0.3">
      <c r="A119" s="270"/>
      <c r="B119" s="267"/>
      <c r="C119" s="135" t="s">
        <v>6</v>
      </c>
      <c r="D119" s="87">
        <f t="shared" si="41"/>
        <v>0</v>
      </c>
      <c r="E119" s="87">
        <v>0</v>
      </c>
      <c r="F119" s="87">
        <v>0</v>
      </c>
      <c r="G119" s="87">
        <v>0</v>
      </c>
      <c r="H119" s="87">
        <v>0</v>
      </c>
      <c r="I119" s="87">
        <v>0</v>
      </c>
      <c r="J119" s="87">
        <v>0</v>
      </c>
    </row>
    <row r="120" spans="1:12" s="134" customFormat="1" ht="20.25" hidden="1" x14ac:dyDescent="0.3">
      <c r="A120" s="270"/>
      <c r="B120" s="267"/>
      <c r="C120" s="137" t="s">
        <v>7</v>
      </c>
      <c r="D120" s="87">
        <f t="shared" si="41"/>
        <v>0</v>
      </c>
      <c r="E120" s="87">
        <v>0</v>
      </c>
      <c r="F120" s="87">
        <v>0</v>
      </c>
      <c r="G120" s="87">
        <v>0</v>
      </c>
      <c r="H120" s="87">
        <v>0</v>
      </c>
      <c r="I120" s="87">
        <v>0</v>
      </c>
      <c r="J120" s="87">
        <v>0</v>
      </c>
    </row>
    <row r="121" spans="1:12" s="134" customFormat="1" ht="40.5" hidden="1" x14ac:dyDescent="0.3">
      <c r="A121" s="270"/>
      <c r="B121" s="267"/>
      <c r="C121" s="137" t="s">
        <v>24</v>
      </c>
      <c r="D121" s="87">
        <f t="shared" si="41"/>
        <v>0</v>
      </c>
      <c r="E121" s="87">
        <v>0</v>
      </c>
      <c r="F121" s="87">
        <v>0</v>
      </c>
      <c r="G121" s="87">
        <v>0</v>
      </c>
      <c r="H121" s="87">
        <v>0</v>
      </c>
      <c r="I121" s="87">
        <v>0</v>
      </c>
      <c r="J121" s="87">
        <v>0</v>
      </c>
    </row>
    <row r="122" spans="1:12" s="134" customFormat="1" ht="40.5" hidden="1" x14ac:dyDescent="0.3">
      <c r="A122" s="271"/>
      <c r="B122" s="268"/>
      <c r="C122" s="137" t="s">
        <v>22</v>
      </c>
      <c r="D122" s="87">
        <f t="shared" si="41"/>
        <v>0</v>
      </c>
      <c r="E122" s="87">
        <v>0</v>
      </c>
      <c r="F122" s="87">
        <v>0</v>
      </c>
      <c r="G122" s="87">
        <v>0</v>
      </c>
      <c r="H122" s="87">
        <v>0</v>
      </c>
      <c r="I122" s="87">
        <v>0</v>
      </c>
      <c r="J122" s="87">
        <v>0</v>
      </c>
    </row>
    <row r="123" spans="1:12" s="134" customFormat="1" ht="20.25" x14ac:dyDescent="0.3">
      <c r="A123" s="269" t="s">
        <v>161</v>
      </c>
      <c r="B123" s="266" t="s">
        <v>229</v>
      </c>
      <c r="C123" s="135" t="s">
        <v>178</v>
      </c>
      <c r="D123" s="87">
        <f t="shared" si="41"/>
        <v>14402.45</v>
      </c>
      <c r="E123" s="87">
        <f>E124+E125+E126+E127</f>
        <v>2100</v>
      </c>
      <c r="F123" s="87">
        <f t="shared" ref="F123:J123" si="49">F124+F125+F126+F127</f>
        <v>2271.36</v>
      </c>
      <c r="G123" s="87">
        <f t="shared" si="49"/>
        <v>2362.2199999999998</v>
      </c>
      <c r="H123" s="87">
        <f t="shared" si="49"/>
        <v>2456.71</v>
      </c>
      <c r="I123" s="87">
        <f t="shared" si="49"/>
        <v>2554.98</v>
      </c>
      <c r="J123" s="87">
        <f t="shared" si="49"/>
        <v>2657.18</v>
      </c>
    </row>
    <row r="124" spans="1:12" s="134" customFormat="1" ht="20.25" x14ac:dyDescent="0.3">
      <c r="A124" s="270"/>
      <c r="B124" s="267"/>
      <c r="C124" s="135" t="s">
        <v>6</v>
      </c>
      <c r="D124" s="87">
        <f t="shared" si="41"/>
        <v>0</v>
      </c>
      <c r="E124" s="87">
        <v>0</v>
      </c>
      <c r="F124" s="87">
        <v>0</v>
      </c>
      <c r="G124" s="87">
        <v>0</v>
      </c>
      <c r="H124" s="87">
        <v>0</v>
      </c>
      <c r="I124" s="87">
        <v>0</v>
      </c>
      <c r="J124" s="87">
        <v>0</v>
      </c>
    </row>
    <row r="125" spans="1:12" s="134" customFormat="1" ht="20.25" x14ac:dyDescent="0.3">
      <c r="A125" s="270"/>
      <c r="B125" s="267"/>
      <c r="C125" s="137" t="s">
        <v>7</v>
      </c>
      <c r="D125" s="87">
        <f t="shared" si="41"/>
        <v>0</v>
      </c>
      <c r="E125" s="87">
        <v>0</v>
      </c>
      <c r="F125" s="87">
        <v>0</v>
      </c>
      <c r="G125" s="87">
        <v>0</v>
      </c>
      <c r="H125" s="87">
        <v>0</v>
      </c>
      <c r="I125" s="87">
        <v>0</v>
      </c>
      <c r="J125" s="87">
        <v>0</v>
      </c>
    </row>
    <row r="126" spans="1:12" s="134" customFormat="1" ht="68.25" customHeight="1" x14ac:dyDescent="0.3">
      <c r="A126" s="270"/>
      <c r="B126" s="267"/>
      <c r="C126" s="137" t="s">
        <v>24</v>
      </c>
      <c r="D126" s="87">
        <f t="shared" si="41"/>
        <v>14402.45</v>
      </c>
      <c r="E126" s="87">
        <f>2000+100</f>
        <v>2100</v>
      </c>
      <c r="F126" s="87">
        <v>2271.36</v>
      </c>
      <c r="G126" s="87">
        <v>2362.2199999999998</v>
      </c>
      <c r="H126" s="87">
        <v>2456.71</v>
      </c>
      <c r="I126" s="87">
        <v>2554.98</v>
      </c>
      <c r="J126" s="87">
        <v>2657.18</v>
      </c>
    </row>
    <row r="127" spans="1:12" s="134" customFormat="1" ht="54" customHeight="1" x14ac:dyDescent="0.3">
      <c r="A127" s="271"/>
      <c r="B127" s="268"/>
      <c r="C127" s="137" t="s">
        <v>22</v>
      </c>
      <c r="D127" s="87">
        <f t="shared" si="41"/>
        <v>0</v>
      </c>
      <c r="E127" s="87">
        <v>0</v>
      </c>
      <c r="F127" s="87">
        <v>0</v>
      </c>
      <c r="G127" s="87">
        <v>0</v>
      </c>
      <c r="H127" s="87">
        <v>0</v>
      </c>
      <c r="I127" s="87">
        <v>0</v>
      </c>
      <c r="J127" s="87">
        <v>0</v>
      </c>
    </row>
    <row r="128" spans="1:12" s="134" customFormat="1" ht="20.25" hidden="1" x14ac:dyDescent="0.3">
      <c r="A128" s="269" t="s">
        <v>259</v>
      </c>
      <c r="B128" s="266" t="s">
        <v>182</v>
      </c>
      <c r="C128" s="135" t="s">
        <v>178</v>
      </c>
      <c r="D128" s="87">
        <f t="shared" si="41"/>
        <v>0</v>
      </c>
      <c r="E128" s="87">
        <f>E129+E130+E131+E132</f>
        <v>0</v>
      </c>
      <c r="F128" s="87">
        <v>0</v>
      </c>
      <c r="G128" s="87">
        <v>0</v>
      </c>
      <c r="H128" s="87">
        <f>H131</f>
        <v>0</v>
      </c>
      <c r="I128" s="87">
        <f t="shared" ref="I128:J128" si="50">I131</f>
        <v>0</v>
      </c>
      <c r="J128" s="87">
        <f t="shared" si="50"/>
        <v>0</v>
      </c>
    </row>
    <row r="129" spans="1:10" s="134" customFormat="1" ht="20.25" hidden="1" x14ac:dyDescent="0.3">
      <c r="A129" s="270"/>
      <c r="B129" s="267"/>
      <c r="C129" s="135" t="s">
        <v>6</v>
      </c>
      <c r="D129" s="87">
        <f t="shared" si="41"/>
        <v>0</v>
      </c>
      <c r="E129" s="87">
        <v>0</v>
      </c>
      <c r="F129" s="87">
        <v>0</v>
      </c>
      <c r="G129" s="87">
        <v>0</v>
      </c>
      <c r="H129" s="87">
        <v>0</v>
      </c>
      <c r="I129" s="87">
        <v>0</v>
      </c>
      <c r="J129" s="87">
        <v>0</v>
      </c>
    </row>
    <row r="130" spans="1:10" s="134" customFormat="1" ht="20.25" hidden="1" x14ac:dyDescent="0.3">
      <c r="A130" s="270"/>
      <c r="B130" s="267"/>
      <c r="C130" s="137" t="s">
        <v>7</v>
      </c>
      <c r="D130" s="87">
        <f t="shared" si="41"/>
        <v>0</v>
      </c>
      <c r="E130" s="87">
        <v>0</v>
      </c>
      <c r="F130" s="87">
        <v>0</v>
      </c>
      <c r="G130" s="87">
        <v>0</v>
      </c>
      <c r="H130" s="87">
        <v>0</v>
      </c>
      <c r="I130" s="87">
        <v>0</v>
      </c>
      <c r="J130" s="87">
        <v>0</v>
      </c>
    </row>
    <row r="131" spans="1:10" s="134" customFormat="1" ht="40.5" hidden="1" x14ac:dyDescent="0.3">
      <c r="A131" s="270"/>
      <c r="B131" s="267"/>
      <c r="C131" s="137" t="s">
        <v>24</v>
      </c>
      <c r="D131" s="87">
        <f t="shared" si="41"/>
        <v>0</v>
      </c>
      <c r="E131" s="87">
        <v>0</v>
      </c>
      <c r="F131" s="87">
        <v>0</v>
      </c>
      <c r="G131" s="87">
        <v>0</v>
      </c>
      <c r="H131" s="87">
        <v>0</v>
      </c>
      <c r="I131" s="87">
        <v>0</v>
      </c>
      <c r="J131" s="87">
        <v>0</v>
      </c>
    </row>
    <row r="132" spans="1:10" s="134" customFormat="1" ht="40.5" hidden="1" x14ac:dyDescent="0.3">
      <c r="A132" s="271"/>
      <c r="B132" s="268"/>
      <c r="C132" s="137" t="s">
        <v>22</v>
      </c>
      <c r="D132" s="87">
        <f t="shared" si="41"/>
        <v>0</v>
      </c>
      <c r="E132" s="87">
        <v>0</v>
      </c>
      <c r="F132" s="87">
        <v>0</v>
      </c>
      <c r="G132" s="87">
        <v>0</v>
      </c>
      <c r="H132" s="87">
        <v>0</v>
      </c>
      <c r="I132" s="87">
        <v>0</v>
      </c>
      <c r="J132" s="87">
        <v>0</v>
      </c>
    </row>
    <row r="133" spans="1:10" s="134" customFormat="1" ht="20.25" hidden="1" x14ac:dyDescent="0.3">
      <c r="A133" s="274" t="s">
        <v>162</v>
      </c>
      <c r="B133" s="275" t="s">
        <v>180</v>
      </c>
      <c r="C133" s="135" t="s">
        <v>178</v>
      </c>
      <c r="D133" s="87">
        <f t="shared" si="41"/>
        <v>0</v>
      </c>
      <c r="E133" s="87">
        <v>0</v>
      </c>
      <c r="F133" s="87">
        <v>0</v>
      </c>
      <c r="G133" s="87">
        <v>0</v>
      </c>
      <c r="H133" s="87">
        <f>H136</f>
        <v>0</v>
      </c>
      <c r="I133" s="87">
        <f t="shared" ref="I133:J133" si="51">I136</f>
        <v>0</v>
      </c>
      <c r="J133" s="87">
        <f t="shared" si="51"/>
        <v>0</v>
      </c>
    </row>
    <row r="134" spans="1:10" s="134" customFormat="1" ht="20.25" hidden="1" x14ac:dyDescent="0.3">
      <c r="A134" s="274"/>
      <c r="B134" s="275"/>
      <c r="C134" s="135" t="s">
        <v>6</v>
      </c>
      <c r="D134" s="87">
        <f t="shared" si="41"/>
        <v>0</v>
      </c>
      <c r="E134" s="87">
        <v>0</v>
      </c>
      <c r="F134" s="87">
        <v>0</v>
      </c>
      <c r="G134" s="87">
        <v>0</v>
      </c>
      <c r="H134" s="87">
        <v>0</v>
      </c>
      <c r="I134" s="87">
        <v>0</v>
      </c>
      <c r="J134" s="87">
        <v>0</v>
      </c>
    </row>
    <row r="135" spans="1:10" s="134" customFormat="1" ht="20.25" hidden="1" x14ac:dyDescent="0.3">
      <c r="A135" s="274"/>
      <c r="B135" s="275"/>
      <c r="C135" s="137" t="s">
        <v>7</v>
      </c>
      <c r="D135" s="87">
        <f t="shared" si="41"/>
        <v>0</v>
      </c>
      <c r="E135" s="87">
        <v>0</v>
      </c>
      <c r="F135" s="87">
        <v>0</v>
      </c>
      <c r="G135" s="87">
        <v>0</v>
      </c>
      <c r="H135" s="87">
        <v>0</v>
      </c>
      <c r="I135" s="87">
        <v>0</v>
      </c>
      <c r="J135" s="87">
        <v>0</v>
      </c>
    </row>
    <row r="136" spans="1:10" s="134" customFormat="1" ht="40.5" hidden="1" x14ac:dyDescent="0.3">
      <c r="A136" s="274"/>
      <c r="B136" s="275"/>
      <c r="C136" s="137" t="s">
        <v>24</v>
      </c>
      <c r="D136" s="87">
        <f t="shared" si="41"/>
        <v>0</v>
      </c>
      <c r="E136" s="87">
        <v>0</v>
      </c>
      <c r="F136" s="87">
        <v>0</v>
      </c>
      <c r="G136" s="87">
        <v>0</v>
      </c>
      <c r="H136" s="87">
        <v>0</v>
      </c>
      <c r="I136" s="87">
        <v>0</v>
      </c>
      <c r="J136" s="87">
        <v>0</v>
      </c>
    </row>
    <row r="137" spans="1:10" s="134" customFormat="1" ht="40.5" hidden="1" x14ac:dyDescent="0.3">
      <c r="A137" s="274"/>
      <c r="B137" s="275"/>
      <c r="C137" s="137" t="s">
        <v>22</v>
      </c>
      <c r="D137" s="87">
        <f t="shared" si="41"/>
        <v>0</v>
      </c>
      <c r="E137" s="87">
        <v>0</v>
      </c>
      <c r="F137" s="87">
        <v>0</v>
      </c>
      <c r="G137" s="87">
        <v>0</v>
      </c>
      <c r="H137" s="87">
        <v>0</v>
      </c>
      <c r="I137" s="87">
        <v>0</v>
      </c>
      <c r="J137" s="87">
        <v>0</v>
      </c>
    </row>
    <row r="138" spans="1:10" s="134" customFormat="1" ht="20.25" hidden="1" x14ac:dyDescent="0.3">
      <c r="A138" s="274" t="s">
        <v>260</v>
      </c>
      <c r="B138" s="266" t="s">
        <v>30</v>
      </c>
      <c r="C138" s="135" t="s">
        <v>178</v>
      </c>
      <c r="D138" s="87">
        <f t="shared" si="41"/>
        <v>0</v>
      </c>
      <c r="E138" s="87">
        <v>0</v>
      </c>
      <c r="F138" s="87">
        <v>0</v>
      </c>
      <c r="G138" s="87">
        <v>0</v>
      </c>
      <c r="H138" s="87">
        <v>0</v>
      </c>
      <c r="I138" s="87">
        <v>0</v>
      </c>
      <c r="J138" s="87">
        <v>0</v>
      </c>
    </row>
    <row r="139" spans="1:10" s="134" customFormat="1" ht="20.25" hidden="1" x14ac:dyDescent="0.3">
      <c r="A139" s="274"/>
      <c r="B139" s="262"/>
      <c r="C139" s="135" t="s">
        <v>6</v>
      </c>
      <c r="D139" s="87">
        <f t="shared" si="41"/>
        <v>0</v>
      </c>
      <c r="E139" s="87">
        <v>0</v>
      </c>
      <c r="F139" s="87">
        <v>0</v>
      </c>
      <c r="G139" s="87">
        <v>0</v>
      </c>
      <c r="H139" s="87">
        <v>0</v>
      </c>
      <c r="I139" s="87">
        <v>0</v>
      </c>
      <c r="J139" s="87">
        <v>0</v>
      </c>
    </row>
    <row r="140" spans="1:10" s="134" customFormat="1" ht="20.25" hidden="1" x14ac:dyDescent="0.3">
      <c r="A140" s="274"/>
      <c r="B140" s="262"/>
      <c r="C140" s="137" t="s">
        <v>7</v>
      </c>
      <c r="D140" s="87">
        <f t="shared" ref="D140:D162" si="52">E140+F140+G140+H140+I140+J140</f>
        <v>0</v>
      </c>
      <c r="E140" s="87">
        <v>0</v>
      </c>
      <c r="F140" s="87">
        <v>0</v>
      </c>
      <c r="G140" s="87">
        <v>0</v>
      </c>
      <c r="H140" s="87">
        <v>0</v>
      </c>
      <c r="I140" s="87">
        <v>0</v>
      </c>
      <c r="J140" s="87">
        <v>0</v>
      </c>
    </row>
    <row r="141" spans="1:10" s="134" customFormat="1" ht="40.5" hidden="1" x14ac:dyDescent="0.3">
      <c r="A141" s="274"/>
      <c r="B141" s="262"/>
      <c r="C141" s="137" t="s">
        <v>24</v>
      </c>
      <c r="D141" s="87">
        <f t="shared" si="52"/>
        <v>0</v>
      </c>
      <c r="E141" s="87">
        <v>0</v>
      </c>
      <c r="F141" s="87">
        <v>0</v>
      </c>
      <c r="G141" s="87">
        <v>0</v>
      </c>
      <c r="H141" s="87">
        <v>0</v>
      </c>
      <c r="I141" s="87">
        <v>0</v>
      </c>
      <c r="J141" s="87">
        <v>0</v>
      </c>
    </row>
    <row r="142" spans="1:10" s="134" customFormat="1" ht="40.5" hidden="1" x14ac:dyDescent="0.3">
      <c r="A142" s="274"/>
      <c r="B142" s="263"/>
      <c r="C142" s="137" t="s">
        <v>22</v>
      </c>
      <c r="D142" s="87">
        <f t="shared" si="52"/>
        <v>0</v>
      </c>
      <c r="E142" s="87">
        <v>0</v>
      </c>
      <c r="F142" s="87">
        <v>0</v>
      </c>
      <c r="G142" s="87">
        <v>0</v>
      </c>
      <c r="H142" s="87">
        <v>0</v>
      </c>
      <c r="I142" s="87">
        <v>0</v>
      </c>
      <c r="J142" s="87">
        <v>0</v>
      </c>
    </row>
    <row r="143" spans="1:10" s="134" customFormat="1" ht="20.25" x14ac:dyDescent="0.3">
      <c r="A143" s="274" t="s">
        <v>330</v>
      </c>
      <c r="B143" s="275" t="s">
        <v>183</v>
      </c>
      <c r="C143" s="135" t="s">
        <v>178</v>
      </c>
      <c r="D143" s="87">
        <f t="shared" si="52"/>
        <v>112941.6</v>
      </c>
      <c r="E143" s="87">
        <f>E144+E145+E146+E147</f>
        <v>18213</v>
      </c>
      <c r="F143" s="87">
        <f t="shared" ref="F143:J143" si="53">F144+F145+F146+F147</f>
        <v>17489.47</v>
      </c>
      <c r="G143" s="87">
        <f>G146</f>
        <v>18189.05</v>
      </c>
      <c r="H143" s="87">
        <f t="shared" si="53"/>
        <v>18916.61</v>
      </c>
      <c r="I143" s="87">
        <f t="shared" si="53"/>
        <v>19673.27</v>
      </c>
      <c r="J143" s="87">
        <f t="shared" si="53"/>
        <v>20460.2</v>
      </c>
    </row>
    <row r="144" spans="1:10" s="134" customFormat="1" ht="20.25" x14ac:dyDescent="0.3">
      <c r="A144" s="274"/>
      <c r="B144" s="275"/>
      <c r="C144" s="135" t="s">
        <v>6</v>
      </c>
      <c r="D144" s="87">
        <f t="shared" si="52"/>
        <v>0</v>
      </c>
      <c r="E144" s="87">
        <v>0</v>
      </c>
      <c r="F144" s="87">
        <v>0</v>
      </c>
      <c r="G144" s="87">
        <v>0</v>
      </c>
      <c r="H144" s="87">
        <v>0</v>
      </c>
      <c r="I144" s="87">
        <v>0</v>
      </c>
      <c r="J144" s="87">
        <v>0</v>
      </c>
    </row>
    <row r="145" spans="1:10" s="134" customFormat="1" ht="20.25" x14ac:dyDescent="0.3">
      <c r="A145" s="274"/>
      <c r="B145" s="275"/>
      <c r="C145" s="137" t="s">
        <v>7</v>
      </c>
      <c r="D145" s="87">
        <f t="shared" si="52"/>
        <v>0</v>
      </c>
      <c r="E145" s="87">
        <v>0</v>
      </c>
      <c r="F145" s="87">
        <v>0</v>
      </c>
      <c r="G145" s="87">
        <v>0</v>
      </c>
      <c r="H145" s="87">
        <v>0</v>
      </c>
      <c r="I145" s="87">
        <v>0</v>
      </c>
      <c r="J145" s="87">
        <v>0</v>
      </c>
    </row>
    <row r="146" spans="1:10" s="134" customFormat="1" ht="40.5" x14ac:dyDescent="0.3">
      <c r="A146" s="274"/>
      <c r="B146" s="275"/>
      <c r="C146" s="137" t="s">
        <v>24</v>
      </c>
      <c r="D146" s="87">
        <f t="shared" si="52"/>
        <v>112941.6</v>
      </c>
      <c r="E146" s="87">
        <f>14806+970+2437</f>
        <v>18213</v>
      </c>
      <c r="F146" s="87">
        <v>17489.47</v>
      </c>
      <c r="G146" s="87">
        <v>18189.05</v>
      </c>
      <c r="H146" s="87">
        <v>18916.61</v>
      </c>
      <c r="I146" s="87">
        <v>19673.27</v>
      </c>
      <c r="J146" s="87">
        <v>20460.2</v>
      </c>
    </row>
    <row r="147" spans="1:10" s="134" customFormat="1" ht="40.5" x14ac:dyDescent="0.3">
      <c r="A147" s="274"/>
      <c r="B147" s="275"/>
      <c r="C147" s="137" t="s">
        <v>22</v>
      </c>
      <c r="D147" s="87">
        <f t="shared" si="52"/>
        <v>0</v>
      </c>
      <c r="E147" s="87">
        <v>0</v>
      </c>
      <c r="F147" s="87">
        <v>0</v>
      </c>
      <c r="G147" s="87">
        <v>0</v>
      </c>
      <c r="H147" s="87">
        <v>0</v>
      </c>
      <c r="I147" s="87">
        <v>0</v>
      </c>
      <c r="J147" s="87">
        <v>0</v>
      </c>
    </row>
    <row r="148" spans="1:10" s="134" customFormat="1" ht="20.25" x14ac:dyDescent="0.3">
      <c r="A148" s="269" t="s">
        <v>154</v>
      </c>
      <c r="B148" s="266" t="s">
        <v>153</v>
      </c>
      <c r="C148" s="135" t="s">
        <v>178</v>
      </c>
      <c r="D148" s="87">
        <f t="shared" si="52"/>
        <v>60296.930000000008</v>
      </c>
      <c r="E148" s="87">
        <f>E150+E151</f>
        <v>6261.2</v>
      </c>
      <c r="F148" s="87">
        <f t="shared" ref="F148:J148" si="54">F150+F151</f>
        <v>9976.4599999999991</v>
      </c>
      <c r="G148" s="87">
        <f t="shared" si="54"/>
        <v>10375.52</v>
      </c>
      <c r="H148" s="87">
        <f t="shared" si="54"/>
        <v>10790.54</v>
      </c>
      <c r="I148" s="87">
        <f t="shared" si="54"/>
        <v>11222.16</v>
      </c>
      <c r="J148" s="87">
        <f t="shared" si="54"/>
        <v>11671.05</v>
      </c>
    </row>
    <row r="149" spans="1:10" s="134" customFormat="1" ht="20.25" x14ac:dyDescent="0.3">
      <c r="A149" s="270"/>
      <c r="B149" s="267"/>
      <c r="C149" s="135" t="s">
        <v>6</v>
      </c>
      <c r="D149" s="87">
        <f t="shared" si="52"/>
        <v>0</v>
      </c>
      <c r="E149" s="87">
        <v>0</v>
      </c>
      <c r="F149" s="87">
        <v>0</v>
      </c>
      <c r="G149" s="87">
        <v>0</v>
      </c>
      <c r="H149" s="87">
        <v>0</v>
      </c>
      <c r="I149" s="87">
        <v>0</v>
      </c>
      <c r="J149" s="87">
        <v>0</v>
      </c>
    </row>
    <row r="150" spans="1:10" s="134" customFormat="1" ht="20.25" x14ac:dyDescent="0.3">
      <c r="A150" s="270"/>
      <c r="B150" s="267"/>
      <c r="C150" s="137" t="s">
        <v>7</v>
      </c>
      <c r="D150" s="87">
        <f t="shared" si="52"/>
        <v>60296.930000000008</v>
      </c>
      <c r="E150" s="87">
        <f>E155</f>
        <v>6261.2</v>
      </c>
      <c r="F150" s="87">
        <f t="shared" ref="F150:J150" si="55">F155</f>
        <v>9976.4599999999991</v>
      </c>
      <c r="G150" s="87">
        <f t="shared" si="55"/>
        <v>10375.52</v>
      </c>
      <c r="H150" s="87">
        <f t="shared" si="55"/>
        <v>10790.54</v>
      </c>
      <c r="I150" s="87">
        <f t="shared" si="55"/>
        <v>11222.16</v>
      </c>
      <c r="J150" s="87">
        <f t="shared" si="55"/>
        <v>11671.05</v>
      </c>
    </row>
    <row r="151" spans="1:10" s="134" customFormat="1" ht="40.5" x14ac:dyDescent="0.3">
      <c r="A151" s="270"/>
      <c r="B151" s="267"/>
      <c r="C151" s="137" t="s">
        <v>24</v>
      </c>
      <c r="D151" s="87">
        <f t="shared" si="52"/>
        <v>0</v>
      </c>
      <c r="E151" s="87">
        <f>E161</f>
        <v>0</v>
      </c>
      <c r="F151" s="87">
        <f t="shared" ref="F151:J151" si="56">F161</f>
        <v>0</v>
      </c>
      <c r="G151" s="87">
        <f t="shared" si="56"/>
        <v>0</v>
      </c>
      <c r="H151" s="87">
        <f t="shared" si="56"/>
        <v>0</v>
      </c>
      <c r="I151" s="87">
        <f t="shared" si="56"/>
        <v>0</v>
      </c>
      <c r="J151" s="87">
        <f t="shared" si="56"/>
        <v>0</v>
      </c>
    </row>
    <row r="152" spans="1:10" s="134" customFormat="1" ht="40.5" x14ac:dyDescent="0.3">
      <c r="A152" s="271"/>
      <c r="B152" s="268"/>
      <c r="C152" s="137" t="s">
        <v>22</v>
      </c>
      <c r="D152" s="87">
        <f t="shared" si="52"/>
        <v>0</v>
      </c>
      <c r="E152" s="87">
        <v>0</v>
      </c>
      <c r="F152" s="87">
        <v>0</v>
      </c>
      <c r="G152" s="87">
        <v>0</v>
      </c>
      <c r="H152" s="87">
        <v>0</v>
      </c>
      <c r="I152" s="87">
        <v>0</v>
      </c>
      <c r="J152" s="87">
        <v>0</v>
      </c>
    </row>
    <row r="153" spans="1:10" s="134" customFormat="1" ht="20.25" x14ac:dyDescent="0.3">
      <c r="A153" s="269" t="s">
        <v>331</v>
      </c>
      <c r="B153" s="266" t="s">
        <v>262</v>
      </c>
      <c r="C153" s="135" t="s">
        <v>178</v>
      </c>
      <c r="D153" s="87">
        <f t="shared" si="52"/>
        <v>60296.930000000008</v>
      </c>
      <c r="E153" s="87">
        <f>E154+E155+E156+E157</f>
        <v>6261.2</v>
      </c>
      <c r="F153" s="87">
        <f t="shared" ref="F153:G153" si="57">F154+F155+F156+F157</f>
        <v>9976.4599999999991</v>
      </c>
      <c r="G153" s="87">
        <f t="shared" si="57"/>
        <v>10375.52</v>
      </c>
      <c r="H153" s="87">
        <f>H155</f>
        <v>10790.54</v>
      </c>
      <c r="I153" s="87">
        <f t="shared" ref="I153:J153" si="58">I155</f>
        <v>11222.16</v>
      </c>
      <c r="J153" s="87">
        <f t="shared" si="58"/>
        <v>11671.05</v>
      </c>
    </row>
    <row r="154" spans="1:10" s="134" customFormat="1" ht="20.25" x14ac:dyDescent="0.3">
      <c r="A154" s="270"/>
      <c r="B154" s="267"/>
      <c r="C154" s="135" t="s">
        <v>6</v>
      </c>
      <c r="D154" s="87">
        <f t="shared" si="52"/>
        <v>0</v>
      </c>
      <c r="E154" s="87">
        <v>0</v>
      </c>
      <c r="F154" s="87">
        <v>0</v>
      </c>
      <c r="G154" s="87">
        <v>0</v>
      </c>
      <c r="H154" s="87">
        <v>0</v>
      </c>
      <c r="I154" s="87">
        <v>0</v>
      </c>
      <c r="J154" s="87">
        <v>0</v>
      </c>
    </row>
    <row r="155" spans="1:10" s="134" customFormat="1" ht="20.25" x14ac:dyDescent="0.3">
      <c r="A155" s="270"/>
      <c r="B155" s="267"/>
      <c r="C155" s="137" t="s">
        <v>7</v>
      </c>
      <c r="D155" s="87">
        <f t="shared" si="52"/>
        <v>60296.930000000008</v>
      </c>
      <c r="E155" s="87">
        <v>6261.2</v>
      </c>
      <c r="F155" s="87">
        <v>9976.4599999999991</v>
      </c>
      <c r="G155" s="87">
        <v>10375.52</v>
      </c>
      <c r="H155" s="87">
        <v>10790.54</v>
      </c>
      <c r="I155" s="87">
        <v>11222.16</v>
      </c>
      <c r="J155" s="87">
        <v>11671.05</v>
      </c>
    </row>
    <row r="156" spans="1:10" s="134" customFormat="1" ht="40.5" x14ac:dyDescent="0.3">
      <c r="A156" s="270"/>
      <c r="B156" s="267"/>
      <c r="C156" s="137" t="s">
        <v>24</v>
      </c>
      <c r="D156" s="87">
        <f t="shared" si="52"/>
        <v>0</v>
      </c>
      <c r="E156" s="87">
        <v>0</v>
      </c>
      <c r="F156" s="87">
        <v>0</v>
      </c>
      <c r="G156" s="87">
        <v>0</v>
      </c>
      <c r="H156" s="87">
        <v>0</v>
      </c>
      <c r="I156" s="87">
        <v>0</v>
      </c>
      <c r="J156" s="87">
        <v>0</v>
      </c>
    </row>
    <row r="157" spans="1:10" s="134" customFormat="1" ht="40.5" x14ac:dyDescent="0.3">
      <c r="A157" s="271"/>
      <c r="B157" s="268"/>
      <c r="C157" s="137" t="s">
        <v>22</v>
      </c>
      <c r="D157" s="87">
        <f t="shared" si="52"/>
        <v>0</v>
      </c>
      <c r="E157" s="87">
        <v>0</v>
      </c>
      <c r="F157" s="87">
        <v>0</v>
      </c>
      <c r="G157" s="87">
        <v>0</v>
      </c>
      <c r="H157" s="87">
        <v>0</v>
      </c>
      <c r="I157" s="87">
        <v>0</v>
      </c>
      <c r="J157" s="87">
        <v>0</v>
      </c>
    </row>
    <row r="158" spans="1:10" s="134" customFormat="1" ht="20.25" hidden="1" x14ac:dyDescent="0.3">
      <c r="A158" s="269" t="s">
        <v>261</v>
      </c>
      <c r="B158" s="266" t="s">
        <v>265</v>
      </c>
      <c r="C158" s="135" t="s">
        <v>178</v>
      </c>
      <c r="D158" s="87">
        <f t="shared" si="52"/>
        <v>0</v>
      </c>
      <c r="E158" s="87">
        <f>E159+E160+E161+E162</f>
        <v>0</v>
      </c>
      <c r="F158" s="87">
        <f t="shared" ref="F158" si="59">F159+F160+F161+F162</f>
        <v>0</v>
      </c>
      <c r="G158" s="87">
        <v>0</v>
      </c>
      <c r="H158" s="87">
        <f>H160</f>
        <v>0</v>
      </c>
      <c r="I158" s="87">
        <f t="shared" ref="I158:J158" si="60">I160</f>
        <v>0</v>
      </c>
      <c r="J158" s="87">
        <f t="shared" si="60"/>
        <v>0</v>
      </c>
    </row>
    <row r="159" spans="1:10" s="134" customFormat="1" ht="20.25" hidden="1" x14ac:dyDescent="0.3">
      <c r="A159" s="270"/>
      <c r="B159" s="267"/>
      <c r="C159" s="135" t="s">
        <v>6</v>
      </c>
      <c r="D159" s="87">
        <f t="shared" si="52"/>
        <v>0</v>
      </c>
      <c r="E159" s="87">
        <v>0</v>
      </c>
      <c r="F159" s="87">
        <v>0</v>
      </c>
      <c r="G159" s="87">
        <v>0</v>
      </c>
      <c r="H159" s="87">
        <v>0</v>
      </c>
      <c r="I159" s="87">
        <v>0</v>
      </c>
      <c r="J159" s="87">
        <v>0</v>
      </c>
    </row>
    <row r="160" spans="1:10" s="134" customFormat="1" ht="20.25" hidden="1" x14ac:dyDescent="0.3">
      <c r="A160" s="270"/>
      <c r="B160" s="267"/>
      <c r="C160" s="137" t="s">
        <v>7</v>
      </c>
      <c r="D160" s="87">
        <f t="shared" si="52"/>
        <v>0</v>
      </c>
      <c r="E160" s="87">
        <v>0</v>
      </c>
      <c r="F160" s="87">
        <v>0</v>
      </c>
      <c r="G160" s="87">
        <v>0</v>
      </c>
      <c r="H160" s="87">
        <v>0</v>
      </c>
      <c r="I160" s="87">
        <v>0</v>
      </c>
      <c r="J160" s="87">
        <v>0</v>
      </c>
    </row>
    <row r="161" spans="1:12" s="134" customFormat="1" ht="40.5" hidden="1" x14ac:dyDescent="0.3">
      <c r="A161" s="270"/>
      <c r="B161" s="267"/>
      <c r="C161" s="137" t="s">
        <v>24</v>
      </c>
      <c r="D161" s="87">
        <f t="shared" si="52"/>
        <v>0</v>
      </c>
      <c r="E161" s="87">
        <v>0</v>
      </c>
      <c r="F161" s="87">
        <v>0</v>
      </c>
      <c r="G161" s="87">
        <v>0</v>
      </c>
      <c r="H161" s="87">
        <v>0</v>
      </c>
      <c r="I161" s="87">
        <v>0</v>
      </c>
      <c r="J161" s="87">
        <v>0</v>
      </c>
    </row>
    <row r="162" spans="1:12" ht="40.5" hidden="1" x14ac:dyDescent="0.2">
      <c r="A162" s="271"/>
      <c r="B162" s="268"/>
      <c r="C162" s="137" t="s">
        <v>22</v>
      </c>
      <c r="D162" s="87">
        <f t="shared" si="52"/>
        <v>0</v>
      </c>
      <c r="E162" s="87">
        <v>0</v>
      </c>
      <c r="F162" s="87">
        <v>0</v>
      </c>
      <c r="G162" s="87">
        <v>0</v>
      </c>
      <c r="H162" s="87">
        <v>0</v>
      </c>
      <c r="I162" s="87">
        <v>0</v>
      </c>
      <c r="J162" s="87">
        <v>0</v>
      </c>
    </row>
    <row r="163" spans="1:12" ht="20.25" x14ac:dyDescent="0.2">
      <c r="A163" s="142"/>
      <c r="B163" s="143"/>
      <c r="C163" s="144"/>
      <c r="D163" s="125"/>
      <c r="E163" s="125"/>
      <c r="F163" s="125"/>
      <c r="G163" s="125"/>
      <c r="H163" s="125"/>
      <c r="I163" s="125"/>
      <c r="J163" s="125"/>
    </row>
    <row r="164" spans="1:12" s="127" customFormat="1" ht="69" customHeight="1" x14ac:dyDescent="0.4">
      <c r="B164" s="293" t="s">
        <v>337</v>
      </c>
      <c r="C164" s="294"/>
      <c r="D164" s="171"/>
      <c r="E164" s="171"/>
      <c r="F164" s="171"/>
      <c r="G164" s="171"/>
      <c r="H164" s="171"/>
      <c r="I164" s="171"/>
      <c r="J164" s="110" t="s">
        <v>334</v>
      </c>
      <c r="K164" s="89"/>
      <c r="L164" s="89"/>
    </row>
    <row r="165" spans="1:12" ht="15.75" x14ac:dyDescent="0.25">
      <c r="B165" s="146"/>
      <c r="C165" s="146"/>
      <c r="D165" s="64"/>
      <c r="E165" s="64"/>
      <c r="F165" s="64"/>
      <c r="J165" s="90"/>
      <c r="K165" s="90"/>
      <c r="L165" s="90"/>
    </row>
    <row r="166" spans="1:12" ht="15.75" x14ac:dyDescent="0.25">
      <c r="C166" s="64"/>
      <c r="D166" s="64"/>
      <c r="E166" s="64"/>
      <c r="F166" s="64"/>
    </row>
    <row r="167" spans="1:12" ht="15" x14ac:dyDescent="0.2">
      <c r="A167" s="147"/>
      <c r="B167" s="147"/>
      <c r="C167" s="147"/>
      <c r="D167" s="147"/>
      <c r="E167" s="92"/>
      <c r="F167" s="92"/>
      <c r="G167" s="92"/>
      <c r="H167" s="92"/>
      <c r="I167" s="92"/>
      <c r="J167" s="92"/>
    </row>
    <row r="173" spans="1:12" s="147" customFormat="1" ht="15.75" x14ac:dyDescent="0.2">
      <c r="A173" s="167"/>
      <c r="B173" s="148"/>
      <c r="C173" s="167"/>
      <c r="D173" s="290"/>
      <c r="E173" s="291"/>
      <c r="F173" s="291"/>
      <c r="G173" s="291"/>
      <c r="H173" s="291"/>
      <c r="I173" s="291"/>
      <c r="J173" s="291"/>
    </row>
  </sheetData>
  <mergeCells count="69">
    <mergeCell ref="B164:C164"/>
    <mergeCell ref="D173:J173"/>
    <mergeCell ref="H4:J6"/>
    <mergeCell ref="A148:A152"/>
    <mergeCell ref="B148:B152"/>
    <mergeCell ref="A153:A157"/>
    <mergeCell ref="B153:B157"/>
    <mergeCell ref="A158:A162"/>
    <mergeCell ref="B158:B162"/>
    <mergeCell ref="A133:A137"/>
    <mergeCell ref="B133:B137"/>
    <mergeCell ref="A138:A142"/>
    <mergeCell ref="B138:B142"/>
    <mergeCell ref="A143:A147"/>
    <mergeCell ref="B143:B147"/>
    <mergeCell ref="A118:A122"/>
    <mergeCell ref="B118:B122"/>
    <mergeCell ref="A123:A127"/>
    <mergeCell ref="B123:B127"/>
    <mergeCell ref="A128:A132"/>
    <mergeCell ref="B128:B132"/>
    <mergeCell ref="A103:A107"/>
    <mergeCell ref="B103:B107"/>
    <mergeCell ref="A108:A112"/>
    <mergeCell ref="B108:B112"/>
    <mergeCell ref="A113:A117"/>
    <mergeCell ref="B113:B117"/>
    <mergeCell ref="A88:A92"/>
    <mergeCell ref="B88:B92"/>
    <mergeCell ref="A93:A97"/>
    <mergeCell ref="B93:B97"/>
    <mergeCell ref="A98:A102"/>
    <mergeCell ref="B98:B102"/>
    <mergeCell ref="A73:A77"/>
    <mergeCell ref="B73:B77"/>
    <mergeCell ref="A78:A82"/>
    <mergeCell ref="B78:B82"/>
    <mergeCell ref="A83:A87"/>
    <mergeCell ref="B83:B87"/>
    <mergeCell ref="A58:A62"/>
    <mergeCell ref="B58:B62"/>
    <mergeCell ref="A63:A67"/>
    <mergeCell ref="B63:B67"/>
    <mergeCell ref="A68:A72"/>
    <mergeCell ref="B68:B72"/>
    <mergeCell ref="A43:A47"/>
    <mergeCell ref="B43:B47"/>
    <mergeCell ref="A48:A52"/>
    <mergeCell ref="B48:B52"/>
    <mergeCell ref="A53:A57"/>
    <mergeCell ref="B53:B57"/>
    <mergeCell ref="A28:A32"/>
    <mergeCell ref="B28:B32"/>
    <mergeCell ref="A33:A37"/>
    <mergeCell ref="B33:B37"/>
    <mergeCell ref="A38:A42"/>
    <mergeCell ref="B38:B42"/>
    <mergeCell ref="A13:A17"/>
    <mergeCell ref="B13:B17"/>
    <mergeCell ref="A18:A22"/>
    <mergeCell ref="B18:B22"/>
    <mergeCell ref="A23:A27"/>
    <mergeCell ref="B23:B27"/>
    <mergeCell ref="D7:J7"/>
    <mergeCell ref="A9:J9"/>
    <mergeCell ref="A11:A12"/>
    <mergeCell ref="B11:B12"/>
    <mergeCell ref="C11:C12"/>
    <mergeCell ref="D11:J11"/>
  </mergeCells>
  <pageMargins left="0.74803149606299213" right="0.74803149606299213" top="1.1811023622047245" bottom="0.74803149606299213" header="0.31496062992125984" footer="0.31496062992125984"/>
  <pageSetup paperSize="9" scale="48" fitToHeight="0" orientation="landscape" r:id="rId1"/>
  <headerFooter differentFirst="1" scaleWithDoc="0">
    <oddHeader>&amp;C&amp;12&amp;P</oddHeader>
  </headerFooter>
  <rowBreaks count="3" manualBreakCount="3">
    <brk id="32" max="9" man="1"/>
    <brk id="82" max="9" man="1"/>
    <brk id="11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12</vt:i4>
      </vt:variant>
    </vt:vector>
  </HeadingPairs>
  <TitlesOfParts>
    <vt:vector size="19" baseType="lpstr">
      <vt:lpstr>табл1Паспорт ГП</vt:lpstr>
      <vt:lpstr>1 индикаторы</vt:lpstr>
      <vt:lpstr>2 индикаторы</vt:lpstr>
      <vt:lpstr>3 бюджет</vt:lpstr>
      <vt:lpstr>4 бюджет</vt:lpstr>
      <vt:lpstr>5 финансирование</vt:lpstr>
      <vt:lpstr>6 финансирование</vt:lpstr>
      <vt:lpstr>'1 индикаторы'!Заголовки_для_печати</vt:lpstr>
      <vt:lpstr>'2 индикаторы'!Заголовки_для_печати</vt:lpstr>
      <vt:lpstr>'3 бюджет'!Заголовки_для_печати</vt:lpstr>
      <vt:lpstr>'5 финансирование'!Заголовки_для_печати</vt:lpstr>
      <vt:lpstr>'6 финансирование'!Заголовки_для_печати</vt:lpstr>
      <vt:lpstr>'1 индикаторы'!Область_печати</vt:lpstr>
      <vt:lpstr>'2 индикаторы'!Область_печати</vt:lpstr>
      <vt:lpstr>'3 бюджет'!Область_печати</vt:lpstr>
      <vt:lpstr>'4 бюджет'!Область_печати</vt:lpstr>
      <vt:lpstr>'5 финансирование'!Область_печати</vt:lpstr>
      <vt:lpstr>'6 финансирование'!Область_печати</vt:lpstr>
      <vt:lpstr>'табл1Паспорт ГП'!Область_печати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Лунёва</cp:lastModifiedBy>
  <cp:lastPrinted>2023-03-31T11:44:04Z</cp:lastPrinted>
  <dcterms:created xsi:type="dcterms:W3CDTF">2005-05-11T09:34:44Z</dcterms:created>
  <dcterms:modified xsi:type="dcterms:W3CDTF">2023-03-31T11:47:17Z</dcterms:modified>
</cp:coreProperties>
</file>